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4e9\AC\Temp\"/>
    </mc:Choice>
  </mc:AlternateContent>
  <xr:revisionPtr revIDLastSave="0" documentId="8_{E6136A39-CCD6-9045-AFA5-E73DD7F66000}" xr6:coauthVersionLast="45" xr6:coauthVersionMax="45" xr10:uidLastSave="{00000000-0000-0000-0000-000000000000}"/>
  <bookViews>
    <workbookView xWindow="-120" yWindow="-120" windowWidth="15600" windowHeight="11760" activeTab="3" xr2:uid="{00000000-000D-0000-FFFF-FFFF00000000}"/>
  </bookViews>
  <sheets>
    <sheet name="Баланс " sheetId="4" r:id="rId1"/>
    <sheet name="Движение ДС Бух" sheetId="5" state="hidden" r:id="rId2"/>
    <sheet name="Моторный " sheetId="9" state="hidden" r:id="rId3"/>
    <sheet name="Сводный" sheetId="10" r:id="rId4"/>
  </sheets>
  <externalReferences>
    <externalReference r:id="rId5"/>
    <externalReference r:id="rId6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0" l="1"/>
  <c r="F10" i="10"/>
  <c r="F12" i="10"/>
  <c r="F14" i="10"/>
  <c r="F19" i="10"/>
  <c r="G8" i="10"/>
  <c r="G10" i="10"/>
  <c r="G12" i="10"/>
  <c r="G14" i="5"/>
  <c r="G14" i="10"/>
  <c r="G19" i="10"/>
  <c r="H8" i="10"/>
  <c r="H10" i="10"/>
  <c r="H12" i="10"/>
  <c r="H14" i="10"/>
  <c r="H19" i="10"/>
  <c r="I8" i="10"/>
  <c r="I10" i="10"/>
  <c r="I12" i="5"/>
  <c r="I12" i="10"/>
  <c r="I14" i="10"/>
  <c r="I19" i="10"/>
  <c r="J8" i="10"/>
  <c r="J10" i="10"/>
  <c r="J12" i="10"/>
  <c r="J14" i="10"/>
  <c r="J19" i="10"/>
  <c r="K8" i="10"/>
  <c r="K10" i="10"/>
  <c r="K12" i="10"/>
  <c r="K14" i="10"/>
  <c r="K19" i="10"/>
  <c r="L8" i="10"/>
  <c r="L10" i="10"/>
  <c r="L12" i="10"/>
  <c r="L14" i="10"/>
  <c r="L19" i="10"/>
  <c r="F21" i="5"/>
  <c r="F22" i="10"/>
  <c r="F22" i="5"/>
  <c r="F23" i="10"/>
  <c r="F9" i="10"/>
  <c r="F13" i="10"/>
  <c r="F27" i="10"/>
  <c r="G22" i="10"/>
  <c r="G23" i="10"/>
  <c r="G9" i="10"/>
  <c r="G13" i="10"/>
  <c r="G27" i="10"/>
  <c r="H22" i="10"/>
  <c r="H23" i="10"/>
  <c r="H9" i="10"/>
  <c r="H13" i="10"/>
  <c r="H27" i="10"/>
  <c r="I22" i="10"/>
  <c r="I23" i="10"/>
  <c r="I9" i="10"/>
  <c r="I13" i="10"/>
  <c r="I27" i="10"/>
  <c r="J22" i="10"/>
  <c r="J23" i="10"/>
  <c r="J9" i="10"/>
  <c r="J13" i="10"/>
  <c r="J27" i="10"/>
  <c r="K22" i="10"/>
  <c r="K23" i="10"/>
  <c r="K9" i="10"/>
  <c r="K13" i="10"/>
  <c r="K27" i="10"/>
  <c r="L22" i="10"/>
  <c r="L23" i="10"/>
  <c r="L9" i="10"/>
  <c r="L13" i="10"/>
  <c r="L27" i="10"/>
  <c r="M22" i="10"/>
  <c r="M23" i="10"/>
  <c r="M9" i="10"/>
  <c r="M13" i="10"/>
  <c r="M27" i="10"/>
  <c r="M8" i="10"/>
  <c r="M10" i="10"/>
  <c r="M12" i="10"/>
  <c r="M14" i="10"/>
  <c r="M19" i="10"/>
  <c r="F43" i="5"/>
  <c r="F48" i="10"/>
  <c r="F44" i="5"/>
  <c r="F44" i="9"/>
  <c r="F49" i="10"/>
  <c r="F45" i="9"/>
  <c r="F50" i="10"/>
  <c r="F46" i="5"/>
  <c r="F46" i="9"/>
  <c r="F51" i="10"/>
  <c r="F47" i="9"/>
  <c r="F52" i="10"/>
  <c r="F48" i="9"/>
  <c r="F53" i="10"/>
  <c r="F54" i="10"/>
  <c r="F50" i="9"/>
  <c r="F55" i="10"/>
  <c r="F56" i="10"/>
  <c r="F57" i="10"/>
  <c r="F55" i="5"/>
  <c r="F55" i="9"/>
  <c r="F60" i="10"/>
  <c r="F56" i="5"/>
  <c r="F56" i="9"/>
  <c r="F61" i="10"/>
  <c r="F57" i="5"/>
  <c r="F62" i="10"/>
  <c r="F58" i="5"/>
  <c r="F63" i="10"/>
  <c r="F64" i="10"/>
  <c r="F62" i="5"/>
  <c r="F67" i="10"/>
  <c r="F63" i="5"/>
  <c r="F63" i="9"/>
  <c r="F68" i="10"/>
  <c r="F64" i="5"/>
  <c r="F69" i="10"/>
  <c r="F70" i="10"/>
  <c r="F71" i="10"/>
  <c r="F69" i="5"/>
  <c r="F74" i="10"/>
  <c r="F70" i="5"/>
  <c r="F75" i="10"/>
  <c r="F71" i="5"/>
  <c r="F76" i="10"/>
  <c r="F77" i="10"/>
  <c r="F83" i="10"/>
  <c r="F84" i="10"/>
  <c r="F80" i="5"/>
  <c r="F80" i="9"/>
  <c r="F85" i="10"/>
  <c r="F86" i="10"/>
  <c r="F87" i="10"/>
  <c r="F79" i="10"/>
  <c r="F84" i="5"/>
  <c r="F89" i="10"/>
  <c r="F90" i="10"/>
  <c r="F44" i="10"/>
  <c r="F45" i="10"/>
  <c r="G43" i="5"/>
  <c r="G48" i="10"/>
  <c r="G44" i="9"/>
  <c r="G49" i="10"/>
  <c r="G45" i="9"/>
  <c r="G50" i="10"/>
  <c r="G46" i="9"/>
  <c r="G51" i="10"/>
  <c r="G47" i="5"/>
  <c r="G47" i="9"/>
  <c r="G52" i="10"/>
  <c r="G48" i="9"/>
  <c r="G53" i="10"/>
  <c r="G54" i="10"/>
  <c r="G55" i="10"/>
  <c r="G56" i="10"/>
  <c r="G57" i="10"/>
  <c r="G55" i="5"/>
  <c r="G55" i="9"/>
  <c r="G60" i="10"/>
  <c r="G61" i="10"/>
  <c r="G57" i="5"/>
  <c r="G62" i="10"/>
  <c r="G58" i="5"/>
  <c r="G63" i="10"/>
  <c r="G64" i="10"/>
  <c r="G67" i="10"/>
  <c r="G63" i="5"/>
  <c r="G63" i="9"/>
  <c r="G68" i="10"/>
  <c r="G69" i="10"/>
  <c r="G70" i="10"/>
  <c r="G71" i="10"/>
  <c r="G69" i="5"/>
  <c r="G74" i="10"/>
  <c r="G70" i="5"/>
  <c r="G75" i="10"/>
  <c r="G76" i="10"/>
  <c r="G77" i="10"/>
  <c r="G83" i="10"/>
  <c r="G84" i="10"/>
  <c r="G80" i="9"/>
  <c r="G85" i="10"/>
  <c r="G86" i="10"/>
  <c r="G87" i="10"/>
  <c r="G79" i="10"/>
  <c r="G84" i="5"/>
  <c r="G89" i="10"/>
  <c r="G90" i="10"/>
  <c r="G44" i="10"/>
  <c r="G45" i="10"/>
  <c r="H43" i="5"/>
  <c r="H48" i="10"/>
  <c r="H44" i="5"/>
  <c r="H44" i="9"/>
  <c r="H49" i="10"/>
  <c r="H45" i="9"/>
  <c r="H50" i="10"/>
  <c r="H46" i="9"/>
  <c r="H51" i="10"/>
  <c r="H47" i="5"/>
  <c r="H52" i="10"/>
  <c r="H48" i="9"/>
  <c r="H53" i="10"/>
  <c r="H54" i="10"/>
  <c r="H55" i="10"/>
  <c r="H56" i="10"/>
  <c r="H57" i="10"/>
  <c r="H55" i="5"/>
  <c r="H55" i="9"/>
  <c r="H60" i="10"/>
  <c r="H61" i="10"/>
  <c r="H57" i="5"/>
  <c r="H62" i="10"/>
  <c r="H63" i="10"/>
  <c r="H64" i="10"/>
  <c r="H62" i="5"/>
  <c r="H67" i="10"/>
  <c r="H63" i="9"/>
  <c r="H68" i="10"/>
  <c r="H64" i="5"/>
  <c r="H69" i="10"/>
  <c r="H70" i="10"/>
  <c r="H71" i="10"/>
  <c r="H69" i="5"/>
  <c r="H74" i="10"/>
  <c r="H75" i="10"/>
  <c r="H76" i="10"/>
  <c r="H77" i="10"/>
  <c r="H83" i="10"/>
  <c r="H84" i="10"/>
  <c r="H80" i="5"/>
  <c r="H80" i="9"/>
  <c r="H85" i="10"/>
  <c r="H86" i="10"/>
  <c r="H87" i="10"/>
  <c r="H79" i="10"/>
  <c r="H84" i="5"/>
  <c r="H89" i="10"/>
  <c r="H90" i="10"/>
  <c r="H44" i="10"/>
  <c r="H45" i="10"/>
  <c r="I43" i="5"/>
  <c r="I48" i="10"/>
  <c r="I44" i="5"/>
  <c r="I44" i="9"/>
  <c r="I49" i="10"/>
  <c r="I50" i="10"/>
  <c r="I46" i="9"/>
  <c r="I51" i="10"/>
  <c r="I47" i="5"/>
  <c r="I52" i="10"/>
  <c r="I48" i="9"/>
  <c r="I53" i="10"/>
  <c r="I49" i="9"/>
  <c r="I54" i="10"/>
  <c r="I50" i="9"/>
  <c r="I55" i="10"/>
  <c r="I51" i="9"/>
  <c r="I56" i="10"/>
  <c r="I57" i="10"/>
  <c r="I55" i="5"/>
  <c r="I55" i="9"/>
  <c r="I60" i="10"/>
  <c r="I56" i="9"/>
  <c r="I61" i="10"/>
  <c r="I57" i="5"/>
  <c r="I62" i="10"/>
  <c r="I63" i="10"/>
  <c r="I64" i="10"/>
  <c r="I62" i="5"/>
  <c r="I67" i="10"/>
  <c r="I63" i="5"/>
  <c r="I63" i="9"/>
  <c r="I68" i="10"/>
  <c r="I64" i="5"/>
  <c r="I69" i="10"/>
  <c r="I70" i="10"/>
  <c r="I71" i="10"/>
  <c r="I69" i="5"/>
  <c r="I74" i="10"/>
  <c r="I70" i="5"/>
  <c r="I75" i="10"/>
  <c r="I76" i="10"/>
  <c r="I77" i="10"/>
  <c r="I78" i="9"/>
  <c r="I83" i="10"/>
  <c r="I84" i="10"/>
  <c r="I80" i="5"/>
  <c r="I85" i="10"/>
  <c r="I86" i="10"/>
  <c r="I87" i="10"/>
  <c r="I79" i="10"/>
  <c r="I89" i="10"/>
  <c r="I90" i="10"/>
  <c r="I44" i="10"/>
  <c r="I45" i="10"/>
  <c r="J43" i="5"/>
  <c r="J48" i="10"/>
  <c r="J44" i="5"/>
  <c r="J44" i="9"/>
  <c r="J49" i="10"/>
  <c r="J45" i="9"/>
  <c r="J50" i="10"/>
  <c r="J51" i="10"/>
  <c r="J47" i="9"/>
  <c r="J52" i="10"/>
  <c r="J48" i="9"/>
  <c r="J53" i="10"/>
  <c r="J49" i="9"/>
  <c r="J54" i="10"/>
  <c r="J55" i="10"/>
  <c r="J56" i="10"/>
  <c r="J57" i="10"/>
  <c r="J55" i="5"/>
  <c r="J55" i="9"/>
  <c r="J60" i="10"/>
  <c r="J56" i="5"/>
  <c r="J61" i="10"/>
  <c r="J57" i="5"/>
  <c r="J62" i="10"/>
  <c r="J58" i="5"/>
  <c r="J63" i="10"/>
  <c r="J64" i="10"/>
  <c r="J62" i="5"/>
  <c r="J67" i="10"/>
  <c r="J63" i="5"/>
  <c r="J63" i="9"/>
  <c r="J68" i="10"/>
  <c r="J64" i="5"/>
  <c r="J69" i="10"/>
  <c r="J70" i="10"/>
  <c r="J71" i="10"/>
  <c r="J69" i="5"/>
  <c r="J74" i="10"/>
  <c r="J70" i="5"/>
  <c r="J75" i="10"/>
  <c r="J76" i="10"/>
  <c r="J77" i="10"/>
  <c r="J83" i="10"/>
  <c r="J84" i="10"/>
  <c r="J80" i="5"/>
  <c r="J85" i="10"/>
  <c r="J86" i="10"/>
  <c r="J87" i="10"/>
  <c r="J79" i="10"/>
  <c r="J84" i="5"/>
  <c r="J89" i="10"/>
  <c r="J90" i="10"/>
  <c r="J44" i="10"/>
  <c r="J45" i="10"/>
  <c r="K43" i="5"/>
  <c r="K48" i="10"/>
  <c r="K44" i="5"/>
  <c r="K44" i="9"/>
  <c r="K49" i="10"/>
  <c r="K45" i="9"/>
  <c r="K50" i="10"/>
  <c r="K46" i="5"/>
  <c r="K46" i="9"/>
  <c r="K51" i="10"/>
  <c r="K47" i="5"/>
  <c r="K52" i="10"/>
  <c r="K53" i="10"/>
  <c r="K54" i="10"/>
  <c r="K55" i="10"/>
  <c r="K56" i="10"/>
  <c r="K57" i="10"/>
  <c r="K55" i="5"/>
  <c r="K55" i="9"/>
  <c r="K60" i="10"/>
  <c r="K56" i="9"/>
  <c r="K61" i="10"/>
  <c r="K57" i="5"/>
  <c r="K62" i="10"/>
  <c r="K58" i="5"/>
  <c r="K63" i="10"/>
  <c r="K64" i="10"/>
  <c r="K62" i="9"/>
  <c r="K67" i="10"/>
  <c r="K63" i="5"/>
  <c r="K63" i="9"/>
  <c r="K68" i="10"/>
  <c r="K64" i="5"/>
  <c r="K69" i="10"/>
  <c r="K70" i="10"/>
  <c r="K71" i="10"/>
  <c r="K69" i="5"/>
  <c r="K74" i="10"/>
  <c r="K70" i="5"/>
  <c r="K75" i="10"/>
  <c r="K76" i="10"/>
  <c r="K77" i="10"/>
  <c r="K83" i="10"/>
  <c r="K79" i="9"/>
  <c r="K84" i="10"/>
  <c r="K80" i="5"/>
  <c r="K80" i="9"/>
  <c r="K85" i="10"/>
  <c r="K81" i="5"/>
  <c r="K86" i="10"/>
  <c r="K87" i="10"/>
  <c r="K79" i="10"/>
  <c r="K84" i="5"/>
  <c r="K89" i="10"/>
  <c r="K90" i="10"/>
  <c r="K44" i="10"/>
  <c r="K45" i="10"/>
  <c r="L43" i="5"/>
  <c r="L48" i="10"/>
  <c r="L44" i="9"/>
  <c r="L49" i="10"/>
  <c r="L45" i="9"/>
  <c r="L50" i="10"/>
  <c r="L51" i="10"/>
  <c r="L52" i="10"/>
  <c r="L48" i="9"/>
  <c r="L53" i="10"/>
  <c r="L54" i="10"/>
  <c r="L50" i="9"/>
  <c r="L55" i="10"/>
  <c r="L56" i="10"/>
  <c r="L57" i="10"/>
  <c r="L55" i="5"/>
  <c r="L55" i="9"/>
  <c r="L60" i="10"/>
  <c r="L56" i="9"/>
  <c r="L61" i="10"/>
  <c r="L57" i="5"/>
  <c r="L62" i="10"/>
  <c r="L58" i="5"/>
  <c r="L63" i="10"/>
  <c r="L64" i="10"/>
  <c r="L62" i="5"/>
  <c r="L67" i="10"/>
  <c r="L63" i="5"/>
  <c r="L63" i="9"/>
  <c r="L68" i="10"/>
  <c r="L64" i="5"/>
  <c r="L69" i="10"/>
  <c r="L70" i="10"/>
  <c r="L71" i="10"/>
  <c r="L69" i="5"/>
  <c r="L74" i="10"/>
  <c r="L70" i="5"/>
  <c r="L75" i="10"/>
  <c r="L71" i="5"/>
  <c r="L76" i="10"/>
  <c r="L77" i="10"/>
  <c r="L83" i="10"/>
  <c r="L84" i="10"/>
  <c r="L80" i="5"/>
  <c r="L85" i="10"/>
  <c r="L86" i="10"/>
  <c r="L87" i="10"/>
  <c r="L74" i="5"/>
  <c r="L79" i="10"/>
  <c r="L84" i="5"/>
  <c r="L89" i="10"/>
  <c r="L90" i="10"/>
  <c r="L44" i="10"/>
  <c r="L45" i="10"/>
  <c r="M43" i="5"/>
  <c r="M48" i="10"/>
  <c r="M44" i="5"/>
  <c r="M44" i="9"/>
  <c r="M49" i="10"/>
  <c r="M50" i="10"/>
  <c r="M51" i="10"/>
  <c r="M52" i="10"/>
  <c r="M48" i="9"/>
  <c r="M53" i="10"/>
  <c r="M54" i="10"/>
  <c r="M50" i="9"/>
  <c r="M55" i="10"/>
  <c r="M56" i="10"/>
  <c r="M57" i="10"/>
  <c r="M55" i="5"/>
  <c r="M60" i="10"/>
  <c r="M61" i="10"/>
  <c r="M57" i="5"/>
  <c r="M62" i="10"/>
  <c r="M63" i="10"/>
  <c r="M64" i="10"/>
  <c r="M62" i="9"/>
  <c r="M67" i="10"/>
  <c r="M63" i="5"/>
  <c r="M63" i="9"/>
  <c r="M68" i="10"/>
  <c r="M64" i="5"/>
  <c r="M69" i="10"/>
  <c r="M70" i="10"/>
  <c r="M71" i="10"/>
  <c r="M69" i="5"/>
  <c r="M74" i="10"/>
  <c r="M70" i="5"/>
  <c r="M75" i="10"/>
  <c r="M76" i="10"/>
  <c r="M77" i="10"/>
  <c r="M84" i="10"/>
  <c r="M80" i="5"/>
  <c r="M80" i="9"/>
  <c r="M85" i="10"/>
  <c r="M86" i="10"/>
  <c r="M87" i="10"/>
  <c r="M74" i="5"/>
  <c r="M79" i="10"/>
  <c r="M84" i="5"/>
  <c r="M89" i="10"/>
  <c r="M90" i="10"/>
  <c r="M44" i="10"/>
  <c r="M45" i="10"/>
  <c r="C10" i="4"/>
  <c r="AK10" i="4"/>
  <c r="AN10" i="4"/>
  <c r="X10" i="10"/>
  <c r="X14" i="10"/>
  <c r="X8" i="10"/>
  <c r="X12" i="10"/>
  <c r="X45" i="10"/>
  <c r="X19" i="10"/>
  <c r="X27" i="10"/>
  <c r="X84" i="10"/>
  <c r="X85" i="10"/>
  <c r="X86" i="10"/>
  <c r="X87" i="10"/>
  <c r="X83" i="10"/>
  <c r="X79" i="10"/>
  <c r="X75" i="10"/>
  <c r="X76" i="10"/>
  <c r="X74" i="10"/>
  <c r="X68" i="10"/>
  <c r="X69" i="10"/>
  <c r="X70" i="10"/>
  <c r="X67" i="10"/>
  <c r="X61" i="10"/>
  <c r="X62" i="10"/>
  <c r="X63" i="10"/>
  <c r="X60" i="10"/>
  <c r="X49" i="10"/>
  <c r="X50" i="10"/>
  <c r="X51" i="10"/>
  <c r="X52" i="10"/>
  <c r="X53" i="10"/>
  <c r="X54" i="10"/>
  <c r="X55" i="10"/>
  <c r="X56" i="10"/>
  <c r="X48" i="10"/>
  <c r="B7" i="5"/>
  <c r="B11" i="5"/>
  <c r="B18" i="5"/>
  <c r="B43" i="5"/>
  <c r="B52" i="5"/>
  <c r="B55" i="5"/>
  <c r="B57" i="5"/>
  <c r="B59" i="5"/>
  <c r="B62" i="5"/>
  <c r="B64" i="5"/>
  <c r="B66" i="5"/>
  <c r="B69" i="5"/>
  <c r="B72" i="5"/>
  <c r="B75" i="5"/>
  <c r="B82" i="5"/>
  <c r="B84" i="5"/>
  <c r="B41" i="5"/>
  <c r="B34" i="5"/>
  <c r="B38" i="5"/>
  <c r="C7" i="5"/>
  <c r="C11" i="5"/>
  <c r="C18" i="5"/>
  <c r="C43" i="5"/>
  <c r="C52" i="5"/>
  <c r="C57" i="5"/>
  <c r="C59" i="5"/>
  <c r="C63" i="5"/>
  <c r="C64" i="5"/>
  <c r="C66" i="5"/>
  <c r="C69" i="5"/>
  <c r="C72" i="5"/>
  <c r="C75" i="5"/>
  <c r="C82" i="5"/>
  <c r="C41" i="5"/>
  <c r="C34" i="5"/>
  <c r="C38" i="5"/>
  <c r="D7" i="5"/>
  <c r="D11" i="5"/>
  <c r="D18" i="5"/>
  <c r="D43" i="5"/>
  <c r="D52" i="5"/>
  <c r="D55" i="5"/>
  <c r="D57" i="5"/>
  <c r="D59" i="5"/>
  <c r="D63" i="5"/>
  <c r="D64" i="5"/>
  <c r="D66" i="5"/>
  <c r="D69" i="5"/>
  <c r="D70" i="5"/>
  <c r="D72" i="5"/>
  <c r="D75" i="5"/>
  <c r="D82" i="5"/>
  <c r="D84" i="5"/>
  <c r="D41" i="5"/>
  <c r="D34" i="5"/>
  <c r="D38" i="5"/>
  <c r="E7" i="5"/>
  <c r="E11" i="5"/>
  <c r="E18" i="5"/>
  <c r="E43" i="5"/>
  <c r="E46" i="5"/>
  <c r="E52" i="5"/>
  <c r="E55" i="5"/>
  <c r="E57" i="5"/>
  <c r="E59" i="5"/>
  <c r="E63" i="5"/>
  <c r="E64" i="5"/>
  <c r="E66" i="5"/>
  <c r="E69" i="5"/>
  <c r="E72" i="5"/>
  <c r="E75" i="5"/>
  <c r="E80" i="5"/>
  <c r="E82" i="5"/>
  <c r="E41" i="5"/>
  <c r="E34" i="5"/>
  <c r="E38" i="5"/>
  <c r="B30" i="5"/>
  <c r="C30" i="5"/>
  <c r="D30" i="5"/>
  <c r="B36" i="5"/>
  <c r="F5" i="4"/>
  <c r="C36" i="5"/>
  <c r="D36" i="5"/>
  <c r="E30" i="5"/>
  <c r="E36" i="5"/>
  <c r="F30" i="5"/>
  <c r="F52" i="5"/>
  <c r="F59" i="5"/>
  <c r="F66" i="5"/>
  <c r="F72" i="5"/>
  <c r="F82" i="5"/>
  <c r="F41" i="5"/>
  <c r="F36" i="5"/>
  <c r="G30" i="5"/>
  <c r="G52" i="5"/>
  <c r="G59" i="5"/>
  <c r="G66" i="5"/>
  <c r="G72" i="5"/>
  <c r="G82" i="5"/>
  <c r="G41" i="5"/>
  <c r="G36" i="5"/>
  <c r="H30" i="5"/>
  <c r="H52" i="5"/>
  <c r="H59" i="5"/>
  <c r="H66" i="5"/>
  <c r="H72" i="5"/>
  <c r="H82" i="5"/>
  <c r="H41" i="5"/>
  <c r="H36" i="5"/>
  <c r="I30" i="5"/>
  <c r="I52" i="5"/>
  <c r="I59" i="5"/>
  <c r="I66" i="5"/>
  <c r="I72" i="5"/>
  <c r="I82" i="5"/>
  <c r="I41" i="5"/>
  <c r="I36" i="5"/>
  <c r="M52" i="9"/>
  <c r="M59" i="9"/>
  <c r="M66" i="9"/>
  <c r="M72" i="9"/>
  <c r="M82" i="9"/>
  <c r="M41" i="9"/>
  <c r="M7" i="9"/>
  <c r="B44" i="9"/>
  <c r="B48" i="9"/>
  <c r="B50" i="9"/>
  <c r="B51" i="9"/>
  <c r="B52" i="9"/>
  <c r="B55" i="9"/>
  <c r="B56" i="9"/>
  <c r="B59" i="9"/>
  <c r="B62" i="9"/>
  <c r="B63" i="9"/>
  <c r="B66" i="9"/>
  <c r="B72" i="9"/>
  <c r="B79" i="9"/>
  <c r="B82" i="9"/>
  <c r="B41" i="9"/>
  <c r="B7" i="9"/>
  <c r="C44" i="9"/>
  <c r="C45" i="9"/>
  <c r="C48" i="9"/>
  <c r="C50" i="9"/>
  <c r="C52" i="9"/>
  <c r="C55" i="9"/>
  <c r="C59" i="9"/>
  <c r="C62" i="9"/>
  <c r="C63" i="9"/>
  <c r="C66" i="9"/>
  <c r="C72" i="9"/>
  <c r="C80" i="9"/>
  <c r="C82" i="9"/>
  <c r="C41" i="9"/>
  <c r="C7" i="9"/>
  <c r="D44" i="9"/>
  <c r="D45" i="9"/>
  <c r="D48" i="9"/>
  <c r="D50" i="9"/>
  <c r="D52" i="9"/>
  <c r="D55" i="9"/>
  <c r="D59" i="9"/>
  <c r="D62" i="9"/>
  <c r="D63" i="9"/>
  <c r="D65" i="9"/>
  <c r="D66" i="9"/>
  <c r="D72" i="9"/>
  <c r="D82" i="9"/>
  <c r="D41" i="9"/>
  <c r="D7" i="9"/>
  <c r="E44" i="9"/>
  <c r="E48" i="9"/>
  <c r="E52" i="9"/>
  <c r="E55" i="9"/>
  <c r="E56" i="9"/>
  <c r="E59" i="9"/>
  <c r="E63" i="9"/>
  <c r="E66" i="9"/>
  <c r="E72" i="9"/>
  <c r="E82" i="9"/>
  <c r="E41" i="9"/>
  <c r="E7" i="9"/>
  <c r="F52" i="9"/>
  <c r="F59" i="9"/>
  <c r="F66" i="9"/>
  <c r="F72" i="9"/>
  <c r="F82" i="9"/>
  <c r="F41" i="9"/>
  <c r="F7" i="9"/>
  <c r="G52" i="9"/>
  <c r="G59" i="9"/>
  <c r="G66" i="9"/>
  <c r="G72" i="9"/>
  <c r="G82" i="9"/>
  <c r="G41" i="9"/>
  <c r="G7" i="9"/>
  <c r="H52" i="9"/>
  <c r="H59" i="9"/>
  <c r="H66" i="9"/>
  <c r="H72" i="9"/>
  <c r="H82" i="9"/>
  <c r="H41" i="9"/>
  <c r="H7" i="9"/>
  <c r="I52" i="9"/>
  <c r="I59" i="9"/>
  <c r="I66" i="9"/>
  <c r="I72" i="9"/>
  <c r="I82" i="9"/>
  <c r="I41" i="9"/>
  <c r="I7" i="9"/>
  <c r="J52" i="9"/>
  <c r="J59" i="9"/>
  <c r="J66" i="9"/>
  <c r="J72" i="9"/>
  <c r="J82" i="9"/>
  <c r="J41" i="9"/>
  <c r="J7" i="9"/>
  <c r="K52" i="9"/>
  <c r="K59" i="9"/>
  <c r="K66" i="9"/>
  <c r="K72" i="9"/>
  <c r="K82" i="9"/>
  <c r="K41" i="9"/>
  <c r="K7" i="9"/>
  <c r="L52" i="9"/>
  <c r="L59" i="9"/>
  <c r="L66" i="9"/>
  <c r="L72" i="9"/>
  <c r="L82" i="9"/>
  <c r="L41" i="9"/>
  <c r="L7" i="9"/>
  <c r="N7" i="9"/>
  <c r="K88" i="5"/>
  <c r="L88" i="5"/>
  <c r="M88" i="5"/>
  <c r="N88" i="5"/>
  <c r="N86" i="5"/>
  <c r="N81" i="5"/>
  <c r="N80" i="5"/>
  <c r="N78" i="5"/>
  <c r="J82" i="5"/>
  <c r="K82" i="5"/>
  <c r="L82" i="5"/>
  <c r="M82" i="5"/>
  <c r="N82" i="5"/>
  <c r="L75" i="5"/>
  <c r="M75" i="5"/>
  <c r="N75" i="5"/>
  <c r="N74" i="5"/>
  <c r="N70" i="5"/>
  <c r="N71" i="5"/>
  <c r="N69" i="5"/>
  <c r="N63" i="5"/>
  <c r="N64" i="5"/>
  <c r="N65" i="5"/>
  <c r="N62" i="5"/>
  <c r="N56" i="5"/>
  <c r="N57" i="5"/>
  <c r="N58" i="5"/>
  <c r="N55" i="5"/>
  <c r="N44" i="5"/>
  <c r="N45" i="5"/>
  <c r="N46" i="5"/>
  <c r="N47" i="5"/>
  <c r="N48" i="5"/>
  <c r="N49" i="5"/>
  <c r="N50" i="5"/>
  <c r="N51" i="5"/>
  <c r="N43" i="5"/>
  <c r="M80" i="10"/>
  <c r="L80" i="10"/>
  <c r="M72" i="5"/>
  <c r="L72" i="5"/>
  <c r="M66" i="5"/>
  <c r="L66" i="5"/>
  <c r="L59" i="5"/>
  <c r="M59" i="5"/>
  <c r="J59" i="5"/>
  <c r="K59" i="5"/>
  <c r="N59" i="5"/>
  <c r="L52" i="5"/>
  <c r="M52" i="5"/>
  <c r="M30" i="5"/>
  <c r="L30" i="5"/>
  <c r="M20" i="5"/>
  <c r="L20" i="5"/>
  <c r="M11" i="5"/>
  <c r="L11" i="5"/>
  <c r="M7" i="5"/>
  <c r="M18" i="5"/>
  <c r="L7" i="5"/>
  <c r="L18" i="5"/>
  <c r="AK25" i="4"/>
  <c r="AK34" i="4"/>
  <c r="AH25" i="4"/>
  <c r="AH34" i="4"/>
  <c r="AH10" i="4"/>
  <c r="AL10" i="4"/>
  <c r="AK5" i="4"/>
  <c r="AH5" i="4"/>
  <c r="B20" i="5"/>
  <c r="C20" i="5"/>
  <c r="D20" i="5"/>
  <c r="E20" i="5"/>
  <c r="F20" i="5"/>
  <c r="G20" i="5"/>
  <c r="H20" i="5"/>
  <c r="I20" i="5"/>
  <c r="J20" i="5"/>
  <c r="K20" i="5"/>
  <c r="N20" i="5"/>
  <c r="N23" i="5"/>
  <c r="N24" i="5"/>
  <c r="B22" i="10"/>
  <c r="C22" i="10"/>
  <c r="D22" i="10"/>
  <c r="D23" i="10"/>
  <c r="D24" i="10"/>
  <c r="D25" i="10"/>
  <c r="D26" i="10"/>
  <c r="D34" i="10"/>
  <c r="D8" i="10"/>
  <c r="D9" i="10"/>
  <c r="D10" i="10"/>
  <c r="D7" i="10"/>
  <c r="D12" i="10"/>
  <c r="D13" i="10"/>
  <c r="D14" i="10"/>
  <c r="D11" i="10"/>
  <c r="D16" i="10"/>
  <c r="D15" i="10"/>
  <c r="D18" i="10"/>
  <c r="D36" i="10"/>
  <c r="E22" i="10"/>
  <c r="E23" i="10"/>
  <c r="E24" i="10"/>
  <c r="E25" i="10"/>
  <c r="E26" i="10"/>
  <c r="E21" i="10"/>
  <c r="B23" i="10"/>
  <c r="C23" i="10"/>
  <c r="B24" i="10"/>
  <c r="C24" i="10"/>
  <c r="F24" i="10"/>
  <c r="G24" i="10"/>
  <c r="H24" i="10"/>
  <c r="I24" i="10"/>
  <c r="J24" i="10"/>
  <c r="K24" i="10"/>
  <c r="L24" i="10"/>
  <c r="M24" i="10"/>
  <c r="B25" i="10"/>
  <c r="C25" i="10"/>
  <c r="F25" i="10"/>
  <c r="G25" i="10"/>
  <c r="H25" i="10"/>
  <c r="I25" i="10"/>
  <c r="J25" i="10"/>
  <c r="K25" i="10"/>
  <c r="L25" i="10"/>
  <c r="M25" i="10"/>
  <c r="B26" i="10"/>
  <c r="C26" i="10"/>
  <c r="F26" i="10"/>
  <c r="G26" i="10"/>
  <c r="H26" i="10"/>
  <c r="I26" i="10"/>
  <c r="J26" i="10"/>
  <c r="K26" i="10"/>
  <c r="L26" i="10"/>
  <c r="M26" i="10"/>
  <c r="B31" i="10"/>
  <c r="C31" i="10"/>
  <c r="D31" i="10"/>
  <c r="E31" i="10"/>
  <c r="F31" i="10"/>
  <c r="G31" i="10"/>
  <c r="H31" i="10"/>
  <c r="I31" i="10"/>
  <c r="J31" i="10"/>
  <c r="K31" i="10"/>
  <c r="L31" i="10"/>
  <c r="M31" i="10"/>
  <c r="N15" i="5"/>
  <c r="B15" i="10"/>
  <c r="C15" i="10"/>
  <c r="E15" i="10"/>
  <c r="F15" i="10"/>
  <c r="G15" i="10"/>
  <c r="H15" i="10"/>
  <c r="I15" i="10"/>
  <c r="J15" i="10"/>
  <c r="K15" i="10"/>
  <c r="L15" i="10"/>
  <c r="M15" i="10"/>
  <c r="B16" i="10"/>
  <c r="C16" i="10"/>
  <c r="E16" i="10"/>
  <c r="F16" i="10"/>
  <c r="G16" i="10"/>
  <c r="H16" i="10"/>
  <c r="I16" i="10"/>
  <c r="J16" i="10"/>
  <c r="K16" i="10"/>
  <c r="L16" i="10"/>
  <c r="M16" i="10"/>
  <c r="B12" i="10"/>
  <c r="C12" i="10"/>
  <c r="E12" i="10"/>
  <c r="B13" i="10"/>
  <c r="C13" i="10"/>
  <c r="E13" i="10"/>
  <c r="B14" i="10"/>
  <c r="C14" i="10"/>
  <c r="E14" i="10"/>
  <c r="B8" i="10"/>
  <c r="C8" i="10"/>
  <c r="E8" i="10"/>
  <c r="B9" i="10"/>
  <c r="C9" i="10"/>
  <c r="E9" i="10"/>
  <c r="B10" i="10"/>
  <c r="C10" i="10"/>
  <c r="E10" i="10"/>
  <c r="B7" i="10"/>
  <c r="C7" i="10"/>
  <c r="I21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I34" i="10"/>
  <c r="B48" i="10"/>
  <c r="C48" i="10"/>
  <c r="D48" i="10"/>
  <c r="E48" i="10"/>
  <c r="B49" i="10"/>
  <c r="C49" i="10"/>
  <c r="D49" i="10"/>
  <c r="E49" i="10"/>
  <c r="B50" i="10"/>
  <c r="C50" i="10"/>
  <c r="D50" i="10"/>
  <c r="E50" i="10"/>
  <c r="B51" i="10"/>
  <c r="C51" i="10"/>
  <c r="D51" i="10"/>
  <c r="E51" i="10"/>
  <c r="B52" i="10"/>
  <c r="C52" i="10"/>
  <c r="D52" i="10"/>
  <c r="E52" i="10"/>
  <c r="B53" i="10"/>
  <c r="C53" i="10"/>
  <c r="D53" i="10"/>
  <c r="E53" i="10"/>
  <c r="B54" i="10"/>
  <c r="C54" i="10"/>
  <c r="D54" i="10"/>
  <c r="E54" i="10"/>
  <c r="B55" i="10"/>
  <c r="C55" i="10"/>
  <c r="D55" i="10"/>
  <c r="E55" i="10"/>
  <c r="B56" i="10"/>
  <c r="C56" i="10"/>
  <c r="D56" i="10"/>
  <c r="E56" i="10"/>
  <c r="B60" i="10"/>
  <c r="C60" i="10"/>
  <c r="D60" i="10"/>
  <c r="E60" i="10"/>
  <c r="B61" i="10"/>
  <c r="C61" i="10"/>
  <c r="D61" i="10"/>
  <c r="E61" i="10"/>
  <c r="B62" i="10"/>
  <c r="C62" i="10"/>
  <c r="D62" i="10"/>
  <c r="E62" i="10"/>
  <c r="B63" i="10"/>
  <c r="C63" i="10"/>
  <c r="D63" i="10"/>
  <c r="E63" i="10"/>
  <c r="B67" i="10"/>
  <c r="C67" i="10"/>
  <c r="D67" i="10"/>
  <c r="E67" i="10"/>
  <c r="B68" i="10"/>
  <c r="C68" i="10"/>
  <c r="D68" i="10"/>
  <c r="E68" i="10"/>
  <c r="B69" i="10"/>
  <c r="C69" i="10"/>
  <c r="D69" i="10"/>
  <c r="E69" i="10"/>
  <c r="B70" i="10"/>
  <c r="C70" i="10"/>
  <c r="D70" i="10"/>
  <c r="E70" i="10"/>
  <c r="B74" i="10"/>
  <c r="C74" i="10"/>
  <c r="D74" i="10"/>
  <c r="E74" i="10"/>
  <c r="E75" i="10"/>
  <c r="E76" i="10"/>
  <c r="E77" i="10"/>
  <c r="B75" i="10"/>
  <c r="C75" i="10"/>
  <c r="D75" i="10"/>
  <c r="B76" i="10"/>
  <c r="C76" i="10"/>
  <c r="D76" i="10"/>
  <c r="B77" i="10"/>
  <c r="B79" i="10"/>
  <c r="C79" i="10"/>
  <c r="D79" i="10"/>
  <c r="E79" i="10"/>
  <c r="B80" i="10"/>
  <c r="C80" i="10"/>
  <c r="D80" i="10"/>
  <c r="E80" i="10"/>
  <c r="F80" i="10"/>
  <c r="G80" i="10"/>
  <c r="H80" i="10"/>
  <c r="I80" i="10"/>
  <c r="J80" i="10"/>
  <c r="K80" i="10"/>
  <c r="B83" i="10"/>
  <c r="B84" i="10"/>
  <c r="B85" i="10"/>
  <c r="B86" i="10"/>
  <c r="B87" i="10"/>
  <c r="C83" i="10"/>
  <c r="D83" i="10"/>
  <c r="E83" i="10"/>
  <c r="C84" i="10"/>
  <c r="D84" i="10"/>
  <c r="E84" i="10"/>
  <c r="C85" i="10"/>
  <c r="D85" i="10"/>
  <c r="E85" i="10"/>
  <c r="C86" i="10"/>
  <c r="D86" i="10"/>
  <c r="E86" i="10"/>
  <c r="B89" i="10"/>
  <c r="C89" i="10"/>
  <c r="D89" i="10"/>
  <c r="E89" i="10"/>
  <c r="N89" i="10"/>
  <c r="B90" i="10"/>
  <c r="C90" i="10"/>
  <c r="D90" i="10"/>
  <c r="E90" i="10"/>
  <c r="O57" i="10"/>
  <c r="O64" i="10"/>
  <c r="X64" i="10"/>
  <c r="O71" i="10"/>
  <c r="X71" i="10"/>
  <c r="O77" i="10"/>
  <c r="X77" i="10"/>
  <c r="N84" i="5"/>
  <c r="O75" i="5"/>
  <c r="O72" i="5"/>
  <c r="K72" i="5"/>
  <c r="J72" i="5"/>
  <c r="O66" i="5"/>
  <c r="O52" i="5"/>
  <c r="O59" i="5"/>
  <c r="O41" i="5"/>
  <c r="K66" i="5"/>
  <c r="J66" i="5"/>
  <c r="H34" i="5"/>
  <c r="I34" i="5"/>
  <c r="K52" i="5"/>
  <c r="K41" i="5"/>
  <c r="K34" i="5"/>
  <c r="J52" i="5"/>
  <c r="G34" i="5"/>
  <c r="K30" i="5"/>
  <c r="K7" i="5"/>
  <c r="K11" i="5"/>
  <c r="K18" i="5"/>
  <c r="K32" i="5"/>
  <c r="J30" i="5"/>
  <c r="G7" i="5"/>
  <c r="G11" i="5"/>
  <c r="G18" i="5"/>
  <c r="G32" i="5"/>
  <c r="N28" i="5"/>
  <c r="N27" i="5"/>
  <c r="N25" i="5"/>
  <c r="N22" i="5"/>
  <c r="N21" i="5"/>
  <c r="H7" i="5"/>
  <c r="H11" i="5"/>
  <c r="H18" i="5"/>
  <c r="H38" i="5"/>
  <c r="N16" i="5"/>
  <c r="N14" i="5"/>
  <c r="N13" i="5"/>
  <c r="N12" i="5"/>
  <c r="N11" i="5"/>
  <c r="J11" i="5"/>
  <c r="F11" i="5"/>
  <c r="N10" i="5"/>
  <c r="N9" i="5"/>
  <c r="N8" i="5"/>
  <c r="J7" i="5"/>
  <c r="J18" i="5"/>
  <c r="I7" i="5"/>
  <c r="F7" i="5"/>
  <c r="F18" i="5"/>
  <c r="N7" i="5"/>
  <c r="AE34" i="4"/>
  <c r="AB25" i="4"/>
  <c r="AB34" i="4"/>
  <c r="Y25" i="4"/>
  <c r="Y34" i="4"/>
  <c r="V25" i="4"/>
  <c r="V34" i="4"/>
  <c r="S25" i="4"/>
  <c r="S34" i="4"/>
  <c r="P25" i="4"/>
  <c r="P34" i="4"/>
  <c r="M25" i="4"/>
  <c r="M34" i="4"/>
  <c r="J25" i="4"/>
  <c r="J34" i="4"/>
  <c r="G25" i="4"/>
  <c r="G34" i="4"/>
  <c r="D25" i="4"/>
  <c r="D34" i="4"/>
  <c r="C25" i="4"/>
  <c r="C34" i="4"/>
  <c r="AE10" i="4"/>
  <c r="AI10" i="4"/>
  <c r="AB10" i="4"/>
  <c r="Y10" i="4"/>
  <c r="AC10" i="4"/>
  <c r="V10" i="4"/>
  <c r="S10" i="4"/>
  <c r="W10" i="4"/>
  <c r="P10" i="4"/>
  <c r="T10" i="4"/>
  <c r="M10" i="4"/>
  <c r="Q10" i="4"/>
  <c r="J10" i="4"/>
  <c r="G10" i="4"/>
  <c r="K10" i="4"/>
  <c r="D10" i="4"/>
  <c r="H10" i="4"/>
  <c r="AE5" i="4"/>
  <c r="AI5" i="4"/>
  <c r="AB5" i="4"/>
  <c r="AB18" i="4"/>
  <c r="Y5" i="4"/>
  <c r="Y18" i="4"/>
  <c r="V5" i="4"/>
  <c r="V18" i="4"/>
  <c r="S5" i="4"/>
  <c r="S18" i="4"/>
  <c r="P5" i="4"/>
  <c r="P18" i="4"/>
  <c r="M5" i="4"/>
  <c r="Q5" i="4"/>
  <c r="J5" i="4"/>
  <c r="J18" i="4"/>
  <c r="G5" i="4"/>
  <c r="G18" i="4"/>
  <c r="G22" i="4"/>
  <c r="G36" i="4"/>
  <c r="D5" i="4"/>
  <c r="C5" i="4"/>
  <c r="E5" i="4"/>
  <c r="C18" i="4"/>
  <c r="N72" i="9"/>
  <c r="N41" i="9"/>
  <c r="N59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1" i="9"/>
  <c r="N10" i="9"/>
  <c r="N9" i="9"/>
  <c r="N52" i="9"/>
  <c r="N82" i="9"/>
  <c r="X10" i="4"/>
  <c r="R18" i="4"/>
  <c r="E34" i="10"/>
  <c r="J32" i="5"/>
  <c r="G38" i="5"/>
  <c r="K38" i="5"/>
  <c r="N30" i="5"/>
  <c r="E32" i="5"/>
  <c r="F34" i="5"/>
  <c r="F38" i="5"/>
  <c r="C32" i="5"/>
  <c r="I11" i="5"/>
  <c r="I18" i="5"/>
  <c r="D32" i="5"/>
  <c r="H32" i="5"/>
  <c r="O34" i="5"/>
  <c r="F32" i="5"/>
  <c r="K36" i="5"/>
  <c r="N5" i="4"/>
  <c r="Z10" i="4"/>
  <c r="K5" i="4"/>
  <c r="W5" i="4"/>
  <c r="H5" i="4"/>
  <c r="T5" i="4"/>
  <c r="AF5" i="4"/>
  <c r="N5" i="9"/>
  <c r="U10" i="4"/>
  <c r="O5" i="4"/>
  <c r="R10" i="4"/>
  <c r="U5" i="4"/>
  <c r="X18" i="4"/>
  <c r="I10" i="4"/>
  <c r="X5" i="4"/>
  <c r="L5" i="4"/>
  <c r="R5" i="4"/>
  <c r="L18" i="4"/>
  <c r="AG18" i="4"/>
  <c r="AD10" i="4"/>
  <c r="I18" i="4"/>
  <c r="I5" i="4"/>
  <c r="L10" i="4"/>
  <c r="AG10" i="4"/>
  <c r="AD18" i="4"/>
  <c r="AA5" i="4"/>
  <c r="O10" i="4"/>
  <c r="I38" i="5"/>
  <c r="I32" i="5"/>
  <c r="B32" i="5"/>
  <c r="F10" i="4"/>
  <c r="J41" i="5"/>
  <c r="AA10" i="4"/>
  <c r="AG5" i="4"/>
  <c r="U18" i="4"/>
  <c r="AA18" i="4"/>
  <c r="AD5" i="4"/>
  <c r="O18" i="4"/>
  <c r="J34" i="5"/>
  <c r="J38" i="5"/>
  <c r="J36" i="5"/>
  <c r="H7" i="10"/>
  <c r="L32" i="5"/>
  <c r="M32" i="5"/>
  <c r="M41" i="5"/>
  <c r="M38" i="5"/>
  <c r="N52" i="5"/>
  <c r="N66" i="5"/>
  <c r="L41" i="5"/>
  <c r="N18" i="5"/>
  <c r="N72" i="5"/>
  <c r="N41" i="5"/>
  <c r="N36" i="5"/>
  <c r="L34" i="5"/>
  <c r="L36" i="5"/>
  <c r="M34" i="5"/>
  <c r="M36" i="5"/>
  <c r="N38" i="5"/>
  <c r="N32" i="5"/>
  <c r="L38" i="5"/>
  <c r="N34" i="5"/>
  <c r="AJ10" i="4"/>
  <c r="AL5" i="4"/>
  <c r="Y22" i="4"/>
  <c r="Y36" i="4"/>
  <c r="Z18" i="4"/>
  <c r="AC18" i="4"/>
  <c r="AB22" i="4"/>
  <c r="AB36" i="4"/>
  <c r="K18" i="4"/>
  <c r="J22" i="4"/>
  <c r="J36" i="4"/>
  <c r="S22" i="4"/>
  <c r="S36" i="4"/>
  <c r="V22" i="4"/>
  <c r="V36" i="4"/>
  <c r="W18" i="4"/>
  <c r="N10" i="4"/>
  <c r="AH18" i="4"/>
  <c r="AH22" i="4"/>
  <c r="AH36" i="4"/>
  <c r="AK18" i="4"/>
  <c r="AK22" i="4"/>
  <c r="AK36" i="4"/>
  <c r="Z5" i="4"/>
  <c r="AE18" i="4"/>
  <c r="AC5" i="4"/>
  <c r="N66" i="9"/>
  <c r="AM18" i="4"/>
  <c r="AM5" i="4"/>
  <c r="AM10" i="4"/>
  <c r="AI18" i="4"/>
  <c r="AE22" i="4"/>
  <c r="AE36" i="4"/>
  <c r="AF18" i="4"/>
  <c r="AJ18" i="4"/>
  <c r="AJ5" i="4"/>
  <c r="B34" i="10"/>
  <c r="J11" i="10"/>
  <c r="N25" i="10"/>
  <c r="Q25" i="10"/>
  <c r="E64" i="10"/>
  <c r="X57" i="10"/>
  <c r="F7" i="10"/>
  <c r="N26" i="10"/>
  <c r="Q26" i="10"/>
  <c r="F11" i="10"/>
  <c r="N60" i="10"/>
  <c r="C34" i="10"/>
  <c r="G7" i="10"/>
  <c r="H34" i="10"/>
  <c r="D21" i="10"/>
  <c r="N63" i="10"/>
  <c r="N23" i="10"/>
  <c r="C11" i="10"/>
  <c r="C18" i="10"/>
  <c r="L34" i="10"/>
  <c r="H21" i="10"/>
  <c r="C71" i="10"/>
  <c r="W63" i="10"/>
  <c r="Y63" i="10"/>
  <c r="W60" i="10"/>
  <c r="Y60" i="10"/>
  <c r="W26" i="10"/>
  <c r="W80" i="10"/>
  <c r="W50" i="10"/>
  <c r="Y50" i="10"/>
  <c r="E11" i="10"/>
  <c r="L11" i="10"/>
  <c r="M21" i="10"/>
  <c r="C57" i="10"/>
  <c r="K11" i="10"/>
  <c r="G11" i="10"/>
  <c r="N13" i="10"/>
  <c r="Q23" i="10"/>
  <c r="N69" i="10"/>
  <c r="J7" i="10"/>
  <c r="J18" i="10"/>
  <c r="B11" i="10"/>
  <c r="B18" i="10"/>
  <c r="C77" i="10"/>
  <c r="C64" i="10"/>
  <c r="M34" i="10"/>
  <c r="K7" i="10"/>
  <c r="K18" i="10"/>
  <c r="H11" i="10"/>
  <c r="H18" i="10"/>
  <c r="W10" i="10"/>
  <c r="Y10" i="10"/>
  <c r="N10" i="10"/>
  <c r="W14" i="10"/>
  <c r="Y14" i="10"/>
  <c r="N68" i="10"/>
  <c r="E7" i="10"/>
  <c r="E18" i="10"/>
  <c r="N14" i="10"/>
  <c r="D64" i="10"/>
  <c r="B57" i="10"/>
  <c r="L7" i="10"/>
  <c r="L18" i="10"/>
  <c r="M11" i="10"/>
  <c r="N15" i="10"/>
  <c r="K21" i="10"/>
  <c r="G21" i="10"/>
  <c r="C21" i="10"/>
  <c r="D77" i="10"/>
  <c r="D57" i="10"/>
  <c r="N49" i="10"/>
  <c r="K34" i="10"/>
  <c r="G34" i="10"/>
  <c r="L21" i="10"/>
  <c r="N74" i="10"/>
  <c r="G18" i="10"/>
  <c r="AL18" i="4"/>
  <c r="W56" i="10"/>
  <c r="Y56" i="10"/>
  <c r="N51" i="10"/>
  <c r="N50" i="10"/>
  <c r="N48" i="10"/>
  <c r="E57" i="10"/>
  <c r="W62" i="10"/>
  <c r="Y62" i="10"/>
  <c r="N62" i="10"/>
  <c r="W61" i="10"/>
  <c r="Y61" i="10"/>
  <c r="N61" i="10"/>
  <c r="B64" i="10"/>
  <c r="B71" i="10"/>
  <c r="B44" i="10"/>
  <c r="B38" i="10"/>
  <c r="B21" i="10"/>
  <c r="B40" i="10"/>
  <c r="N55" i="10"/>
  <c r="W54" i="10"/>
  <c r="Y54" i="10"/>
  <c r="N53" i="10"/>
  <c r="N52" i="10"/>
  <c r="W51" i="10"/>
  <c r="Y51" i="10"/>
  <c r="W49" i="10"/>
  <c r="Y49" i="10"/>
  <c r="W48" i="10"/>
  <c r="Y48" i="10"/>
  <c r="N54" i="10"/>
  <c r="W16" i="10"/>
  <c r="W15" i="10"/>
  <c r="W89" i="10"/>
  <c r="W86" i="10"/>
  <c r="Y86" i="10"/>
  <c r="N86" i="10"/>
  <c r="N85" i="10"/>
  <c r="W84" i="10"/>
  <c r="Y84" i="10"/>
  <c r="D87" i="10"/>
  <c r="N84" i="10"/>
  <c r="W83" i="10"/>
  <c r="Y83" i="10"/>
  <c r="N83" i="10"/>
  <c r="N80" i="10"/>
  <c r="W79" i="10"/>
  <c r="Y79" i="10"/>
  <c r="N79" i="10"/>
  <c r="W76" i="10"/>
  <c r="Y76" i="10"/>
  <c r="N76" i="10"/>
  <c r="W75" i="10"/>
  <c r="Y75" i="10"/>
  <c r="N75" i="10"/>
  <c r="W74" i="10"/>
  <c r="Y74" i="10"/>
  <c r="W70" i="10"/>
  <c r="Y70" i="10"/>
  <c r="N70" i="10"/>
  <c r="F38" i="10"/>
  <c r="W68" i="10"/>
  <c r="Y68" i="10"/>
  <c r="W67" i="10"/>
  <c r="Y67" i="10"/>
  <c r="D71" i="10"/>
  <c r="N67" i="10"/>
  <c r="W9" i="10"/>
  <c r="N9" i="10"/>
  <c r="N22" i="10"/>
  <c r="Q22" i="10"/>
  <c r="M7" i="10"/>
  <c r="M18" i="10"/>
  <c r="I7" i="10"/>
  <c r="W8" i="10"/>
  <c r="N8" i="10"/>
  <c r="W13" i="10"/>
  <c r="I11" i="10"/>
  <c r="I18" i="10"/>
  <c r="W12" i="10"/>
  <c r="Y12" i="10"/>
  <c r="N12" i="10"/>
  <c r="N16" i="10"/>
  <c r="N31" i="10"/>
  <c r="W31" i="10"/>
  <c r="W25" i="10"/>
  <c r="W24" i="10"/>
  <c r="N24" i="10"/>
  <c r="W23" i="10"/>
  <c r="J21" i="10"/>
  <c r="W22" i="10"/>
  <c r="W34" i="10"/>
  <c r="F34" i="10"/>
  <c r="F21" i="10"/>
  <c r="E10" i="4"/>
  <c r="Y8" i="10"/>
  <c r="W7" i="10"/>
  <c r="P22" i="4"/>
  <c r="P36" i="4"/>
  <c r="T18" i="4"/>
  <c r="AN18" i="4"/>
  <c r="C22" i="4"/>
  <c r="C36" i="4"/>
  <c r="D18" i="4"/>
  <c r="M18" i="4"/>
  <c r="AF10" i="4"/>
  <c r="AN5" i="4"/>
  <c r="N18" i="4"/>
  <c r="M22" i="4"/>
  <c r="M36" i="4"/>
  <c r="Q18" i="4"/>
  <c r="H18" i="4"/>
  <c r="D22" i="4"/>
  <c r="D36" i="4"/>
  <c r="N34" i="10"/>
  <c r="W21" i="10"/>
  <c r="W28" i="10"/>
  <c r="W69" i="10"/>
  <c r="Y69" i="10"/>
  <c r="E71" i="10"/>
  <c r="N56" i="10"/>
  <c r="W53" i="10"/>
  <c r="Y53" i="10"/>
  <c r="N32" i="10"/>
  <c r="W32" i="10"/>
  <c r="W19" i="10"/>
  <c r="Y19" i="10"/>
  <c r="W85" i="10"/>
  <c r="Y85" i="10"/>
  <c r="W52" i="10"/>
  <c r="Y52" i="10"/>
  <c r="N57" i="10"/>
  <c r="W55" i="10"/>
  <c r="Y55" i="10"/>
  <c r="W27" i="10"/>
  <c r="W37" i="10"/>
  <c r="G38" i="10"/>
  <c r="N7" i="10"/>
  <c r="Q7" i="10"/>
  <c r="N11" i="10"/>
  <c r="Q11" i="10"/>
  <c r="Q18" i="10"/>
  <c r="J38" i="10"/>
  <c r="G36" i="10"/>
  <c r="F18" i="10"/>
  <c r="N90" i="10"/>
  <c r="Y27" i="10"/>
  <c r="Q21" i="10"/>
  <c r="N21" i="10"/>
  <c r="D44" i="10"/>
  <c r="D38" i="10"/>
  <c r="D42" i="10"/>
  <c r="W87" i="10"/>
  <c r="Y87" i="10"/>
  <c r="E87" i="10"/>
  <c r="E44" i="10"/>
  <c r="E38" i="10"/>
  <c r="E40" i="10"/>
  <c r="N77" i="10"/>
  <c r="N71" i="10"/>
  <c r="J34" i="10"/>
  <c r="W90" i="10"/>
  <c r="F36" i="10"/>
  <c r="C87" i="10"/>
  <c r="C36" i="10"/>
  <c r="N87" i="10"/>
  <c r="C44" i="10"/>
  <c r="I36" i="10"/>
  <c r="H38" i="10"/>
  <c r="H40" i="10"/>
  <c r="L42" i="10"/>
  <c r="L36" i="10"/>
  <c r="H42" i="10"/>
  <c r="H36" i="10"/>
  <c r="B36" i="10"/>
  <c r="B42" i="10"/>
  <c r="F42" i="10"/>
  <c r="W18" i="10"/>
  <c r="L38" i="10"/>
  <c r="L40" i="10"/>
  <c r="G40" i="10"/>
  <c r="G42" i="10"/>
  <c r="F40" i="10"/>
  <c r="M38" i="10"/>
  <c r="M40" i="10"/>
  <c r="N18" i="10"/>
  <c r="M36" i="10"/>
  <c r="M42" i="10"/>
  <c r="K36" i="10"/>
  <c r="W71" i="10"/>
  <c r="Y71" i="10"/>
  <c r="N64" i="10"/>
  <c r="W64" i="10"/>
  <c r="Y64" i="10"/>
  <c r="J36" i="10"/>
  <c r="E36" i="10"/>
  <c r="E42" i="10"/>
  <c r="W57" i="10"/>
  <c r="W11" i="10"/>
  <c r="N44" i="10"/>
  <c r="N42" i="10"/>
  <c r="D40" i="10"/>
  <c r="W77" i="10"/>
  <c r="Y77" i="10"/>
  <c r="J40" i="10"/>
  <c r="J42" i="10"/>
  <c r="I38" i="10"/>
  <c r="I40" i="10"/>
  <c r="I42" i="10"/>
  <c r="Y57" i="10"/>
  <c r="W44" i="10"/>
  <c r="W42" i="10"/>
  <c r="C38" i="10"/>
  <c r="K38" i="10"/>
  <c r="N36" i="10"/>
  <c r="AO10" i="4"/>
  <c r="W36" i="10"/>
  <c r="K42" i="10"/>
  <c r="K40" i="10"/>
  <c r="N40" i="10"/>
  <c r="Q44" i="10"/>
  <c r="W38" i="10"/>
  <c r="W45" i="10"/>
  <c r="Y45" i="10"/>
  <c r="W40" i="10"/>
  <c r="C40" i="10"/>
  <c r="N38" i="10"/>
  <c r="C42" i="10"/>
</calcChain>
</file>

<file path=xl/sharedStrings.xml><?xml version="1.0" encoding="utf-8"?>
<sst xmlns="http://schemas.openxmlformats.org/spreadsheetml/2006/main" count="311" uniqueCount="174">
  <si>
    <t>Пассивы</t>
  </si>
  <si>
    <t xml:space="preserve">31 декабря </t>
  </si>
  <si>
    <t>Долги владельцев коммерческих объектов</t>
  </si>
  <si>
    <t>3. Предоплата за электроэнергию</t>
  </si>
  <si>
    <t>2. Дебиторская адолженность</t>
  </si>
  <si>
    <t>2. Другие пассивы</t>
  </si>
  <si>
    <t xml:space="preserve"> </t>
  </si>
  <si>
    <t xml:space="preserve">    1.1 Перед поставщиками услуг/работ </t>
  </si>
  <si>
    <t>Итого Активы:</t>
  </si>
  <si>
    <t>Итого Пассивы:</t>
  </si>
  <si>
    <t xml:space="preserve">  </t>
  </si>
  <si>
    <t>Долги владельцев жилых домов/квартир</t>
  </si>
  <si>
    <t>31 января</t>
  </si>
  <si>
    <t>28 февраля</t>
  </si>
  <si>
    <t>31 марта</t>
  </si>
  <si>
    <t>30 апреля</t>
  </si>
  <si>
    <t>31 мая</t>
  </si>
  <si>
    <t xml:space="preserve"> 30 июня</t>
  </si>
  <si>
    <t>31 июля</t>
  </si>
  <si>
    <t>31 августа</t>
  </si>
  <si>
    <t>30 сентября</t>
  </si>
  <si>
    <t>31 октября</t>
  </si>
  <si>
    <t>30 ноября</t>
  </si>
  <si>
    <t>1. Деньги на рассчетных счетах</t>
  </si>
  <si>
    <t>Сальдо: Активы - Пассивы</t>
  </si>
  <si>
    <t xml:space="preserve">   - БТА Банк</t>
  </si>
  <si>
    <t xml:space="preserve">   - Укргазбанк</t>
  </si>
  <si>
    <t>Отчет о движении денежных средств ОК ОК "Севериновка" 2019 г.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</si>
  <si>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</si>
  <si>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</si>
  <si>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</si>
  <si>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</si>
  <si>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</si>
  <si>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</si>
  <si>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</si>
  <si>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</si>
  <si>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</si>
  <si>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</si>
  <si>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Новбрь</t>
  </si>
  <si>
    <t>Декабрь</t>
  </si>
  <si>
    <t xml:space="preserve">Всего за год </t>
  </si>
  <si>
    <t xml:space="preserve">План год </t>
  </si>
  <si>
    <t xml:space="preserve">Доходы </t>
  </si>
  <si>
    <t>Выставленные счета</t>
  </si>
  <si>
    <t xml:space="preserve">Всего выставленные счета: </t>
  </si>
  <si>
    <t xml:space="preserve">Расходы </t>
  </si>
  <si>
    <t>1. Общее благоустройство</t>
  </si>
  <si>
    <t>1.1 Вывоз мусора, замена и ремонт мусорных контейнеров, ремонт зоны для вывоза мусора</t>
  </si>
  <si>
    <t xml:space="preserve">1.2 Инструменты дляуборки,форма,мелкая техника, бензин, запчасти, ремонт, расходные материалы </t>
  </si>
  <si>
    <t>1.3 Ремонты на территории общего пользования</t>
  </si>
  <si>
    <t>1.4 Озеленение</t>
  </si>
  <si>
    <t>1.5 Уход за озерами, благоустройство пляжной зоны и территории</t>
  </si>
  <si>
    <t>1.6 Зарплата персонала (дворники -6, уборщица - 1)</t>
  </si>
  <si>
    <t>1.7 Проживание персонала</t>
  </si>
  <si>
    <t>1.8 Аренда коммунальной техники:(уборочная машина, трактор и т.д)</t>
  </si>
  <si>
    <t>1.9 Устройство Пожарной Безопасности</t>
  </si>
  <si>
    <t>Итого по разделу 1: Общее благоустройство:</t>
  </si>
  <si>
    <t>2. Обслуживание систем водоснабжения и канализации</t>
  </si>
  <si>
    <t>2.1 КНС - сервисное и профилактическое обслуживание, ремонтные работы,материалы, запчасти. Реагенты, зарплата операторов</t>
  </si>
  <si>
    <t>2.2 Насосная - сервисное и профилактическое обслуживание, ремонтные работы,материалы, запчасти. Реагенты, зарплата операторов</t>
  </si>
  <si>
    <t>2.3 Внешние трубопроводы – обслуживание, ремонт, гидроизоляционные работы, запчасти. Обслуживание технического водопровода, обустройство системы полива.</t>
  </si>
  <si>
    <t>2.4 Расходные материалы, реагенты (соль, гипохлорит)</t>
  </si>
  <si>
    <t>Итого по разделу 2: Обслуживание системы ВС и Канализации</t>
  </si>
  <si>
    <t>3. Административные расходы</t>
  </si>
  <si>
    <t>3.1 Услуги административного персонала (директор, бухгалтер, почта, глава правления)</t>
  </si>
  <si>
    <t>3.2 Административные расходы (аренда офиса,интернет, канцтовары.оргтезника, мебель, телефон)</t>
  </si>
  <si>
    <t>3.3 Аудиторские, юридические, банковские услуги, портмоне, 1С</t>
  </si>
  <si>
    <t>3.4 Праздники</t>
  </si>
  <si>
    <t>Итого по разделу 3:  Административные расходы:</t>
  </si>
  <si>
    <t xml:space="preserve">4. Охрана </t>
  </si>
  <si>
    <t>4.1 Оплата услуг охранной компании</t>
  </si>
  <si>
    <t>4.2 Усовершенствование пропускного пункта, видеонаблюдение</t>
  </si>
  <si>
    <t>4.3 Частичное закрытие , ремонт внешнего периметра</t>
  </si>
  <si>
    <t>Итого по разделу 4: Охрана:</t>
  </si>
  <si>
    <t>Всего расходы:</t>
  </si>
  <si>
    <t xml:space="preserve">Сальдо: Поступления - Расходы </t>
  </si>
  <si>
    <t>Сальдо: Поступления - Счета</t>
  </si>
  <si>
    <t>Сальдо: Счета - Расходы</t>
  </si>
  <si>
    <t>31 декабря !8</t>
  </si>
  <si>
    <t xml:space="preserve">    1.2 Перед бюджетом</t>
  </si>
  <si>
    <t>1. Текущая кредиторская задолженность</t>
  </si>
  <si>
    <t>4. Другие активы (запасы)</t>
  </si>
  <si>
    <t>Всего оборотные активы:</t>
  </si>
  <si>
    <t>I. Оборотные активы</t>
  </si>
  <si>
    <t>II.Необоротные активы - Основные средства</t>
  </si>
  <si>
    <t>Код строки</t>
  </si>
  <si>
    <t>1595  ?</t>
  </si>
  <si>
    <t>1.2 Счета за электроэнергию</t>
  </si>
  <si>
    <t>1.3 Счета за сервисное обслуживание (вода)</t>
  </si>
  <si>
    <t>1.1 Членские взносы (ЖКУ)</t>
  </si>
  <si>
    <t>2.1 Членские взносы (ЖКУ)</t>
  </si>
  <si>
    <t>2.2 Счета за электроэнергию</t>
  </si>
  <si>
    <t>2.3 Счета за сервисное обслуживание (вода)</t>
  </si>
  <si>
    <t>2. Коммерческим объектам</t>
  </si>
  <si>
    <t>2. Поступления от коммерческих обїектов</t>
  </si>
  <si>
    <t xml:space="preserve">Справочно </t>
  </si>
  <si>
    <t>1. Коррекция дебиторской задолженности</t>
  </si>
  <si>
    <t>2. Коррекция кредиторской задолженности</t>
  </si>
  <si>
    <t>Поступления</t>
  </si>
  <si>
    <t xml:space="preserve">   Предоплата</t>
  </si>
  <si>
    <t xml:space="preserve">По балансу </t>
  </si>
  <si>
    <t>По ДДС</t>
  </si>
  <si>
    <t xml:space="preserve">Изменения Июнь - Май </t>
  </si>
  <si>
    <t>Изменения Май - Апрель</t>
  </si>
  <si>
    <t>Изменения Июль - Июнь</t>
  </si>
  <si>
    <t>Изменения Август - Июль</t>
  </si>
  <si>
    <t xml:space="preserve">Всего поступления: </t>
  </si>
  <si>
    <t>Поступления от ОК ОК "Севериновка"</t>
  </si>
  <si>
    <t>9. ФОП Моторний В.Ю. и Ю.П.</t>
  </si>
  <si>
    <t>7. Плата за фактически потребленную электроэнергию (Вне бюджета)</t>
  </si>
  <si>
    <t>8. Другие расходы (Непредвиденные, погашение кредиторки  и т.п.)</t>
  </si>
  <si>
    <t xml:space="preserve">    1.3 Другая кредиторская задолженность 685 счет</t>
  </si>
  <si>
    <t>3. Поступления от владельцев не введенных в эксплуатацию  домов</t>
  </si>
  <si>
    <t>1. Поступления от владельцев жилых домов/квартир</t>
  </si>
  <si>
    <t>3. Владельцам не введенных в эксплуатацию домов (чл. взносы)</t>
  </si>
  <si>
    <t>1. Владельцам жилых домов/квартир</t>
  </si>
  <si>
    <t>4. Другие выставленные счета</t>
  </si>
  <si>
    <t>Долги владельцев не введенных в эксплуатацию домов</t>
  </si>
  <si>
    <t xml:space="preserve">    1.4 Доходы будущих периодов</t>
  </si>
  <si>
    <t>5. Аренда КНС, Нс, ПО, Электролиний, КТП, вышка Киевстар</t>
  </si>
  <si>
    <t>Итого по разделу 5: Аренда:</t>
  </si>
  <si>
    <t>6. Электрохозяйство</t>
  </si>
  <si>
    <t>6.1 Электроэнергия на общественные нужды</t>
  </si>
  <si>
    <t>6.2 Зарплата электриков</t>
  </si>
  <si>
    <t xml:space="preserve">6.3 Закупка материалов </t>
  </si>
  <si>
    <t>6.4 Ремонт электрооборудования</t>
  </si>
  <si>
    <t>Итого по разделу 6: Электрохозяйство:</t>
  </si>
  <si>
    <t>2.1 КНС - сервисное и профилактическое обслуживание, ремонтные работы,материалы, запчасти. зарплата операторов</t>
  </si>
  <si>
    <t>Ноябрь</t>
  </si>
  <si>
    <t>6.2 ФОП Моторный - Зарплата электриков</t>
  </si>
  <si>
    <t xml:space="preserve">6.4 Закупка материалов </t>
  </si>
  <si>
    <t>4.Поступления на содержание многоквартирных домов</t>
  </si>
  <si>
    <t>5. Другие поступления</t>
  </si>
  <si>
    <t xml:space="preserve">Разница </t>
  </si>
  <si>
    <t>План - Факт</t>
  </si>
  <si>
    <t>Опер. Расходы без 7. Эл.Эн. и 8. Доп. Расходы</t>
  </si>
  <si>
    <t>Поступления минус счета за ЭлЭн</t>
  </si>
  <si>
    <t>Бюджет</t>
  </si>
  <si>
    <t>Общие счета  минус счета за ЭлЭн</t>
  </si>
  <si>
    <t>Выставленные счета для формирования бюджета</t>
  </si>
  <si>
    <t>май-декабрь</t>
  </si>
  <si>
    <t>Всего за 8 мес.</t>
  </si>
  <si>
    <t>План 8 мес.</t>
  </si>
  <si>
    <t>8. Другие расходы (Непред-ные, погашение кредитов  и т.п.)</t>
  </si>
  <si>
    <t>7. Плата за факт. потребленную эл.энергию (Вне бюджета)</t>
  </si>
  <si>
    <t>1. Выставленные счета</t>
  </si>
  <si>
    <t>1.1. Владельцам жилых домов/квартир</t>
  </si>
  <si>
    <t>1.2. Коммерческим объектам</t>
  </si>
  <si>
    <t>1.1.1 Членские взносы (ЖКУ)</t>
  </si>
  <si>
    <t>1.1.2 Счета за электроэнергию</t>
  </si>
  <si>
    <t>1.1.3 Счета за сервисное обслуживание (вода)</t>
  </si>
  <si>
    <t>1.2.1 Членские взносы (ЖКУ)</t>
  </si>
  <si>
    <t>1.2.2 Счета за электроэнергию</t>
  </si>
  <si>
    <t>1.2.3 Счета за сервисное обслуживание (вода)</t>
  </si>
  <si>
    <t>2. Поступления</t>
  </si>
  <si>
    <t>2.1. Поступления от владельцев жилых домов/квартир</t>
  </si>
  <si>
    <t>2.2. Поступления от коммерческих обїектов</t>
  </si>
  <si>
    <t>2.3. Поступления от владельцев не введенных в эксп.  домов</t>
  </si>
  <si>
    <t>2.4.Поступления на содержание многоквартирных домов</t>
  </si>
  <si>
    <t>2.5. Другие поступления</t>
  </si>
  <si>
    <t>Баланс ОК ОК "Севериновка" 2019 г.</t>
  </si>
  <si>
    <t>По бюджету и тарифам 2019 г.</t>
  </si>
  <si>
    <t>2.6 Поступления по статьям наполнения бюджета (2.-2.3-1.1.2-1.2.2)</t>
  </si>
  <si>
    <t>2.7 Поступления, использованные для оплаты расходов (2.6 +2.3)</t>
  </si>
  <si>
    <t>1.3. Владельцам не введенных в экспл. домов (чл. взносы)</t>
  </si>
  <si>
    <t>1.4. Другие выставленные счета</t>
  </si>
  <si>
    <t>Расходы общие</t>
  </si>
  <si>
    <t>Операционные расходы (заложенные в бюджет - статьи 1 - 6 )</t>
  </si>
  <si>
    <t xml:space="preserve">План на год </t>
  </si>
  <si>
    <t xml:space="preserve">1.5 Всего выставленные счета: </t>
  </si>
  <si>
    <t>1.6. Счета по статьям наполнения  бюджета (1.1.1+1.1.3+1.2.1+1.2.3)</t>
  </si>
  <si>
    <t>Сальдо: Поступления - Счета по статьям наполнения бюджета (2.6 - 1.6)</t>
  </si>
  <si>
    <t xml:space="preserve"> 2/3 годового</t>
  </si>
  <si>
    <t>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</si>
</sst>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р_."/>
    <numFmt numFmtId="165" formatCode="dd/mm/yy;@"/>
    <numFmt numFmtId="166" formatCode="#,##0.00_ ;[Red]\-#,##0.00\ "/>
  </numFmts>
  <fonts count="27" x14ac:knownFonts="1">
    <font>
      <sz val="10"/>
      <name val="Arial Cyr"/>
      <charset val="204"/>
    </font>
    <font>
      <b/>
      <sz val="9"/>
      <name val="Arial Cyr"/>
      <family val="2"/>
      <charset val="204"/>
    </font>
    <font>
      <i/>
      <sz val="9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i/>
      <sz val="9"/>
      <name val="Arial Cyr"/>
      <family val="2"/>
      <charset val="204"/>
    </font>
    <font>
      <b/>
      <i/>
      <sz val="9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7"/>
      <name val="Arial Cyr"/>
      <charset val="204"/>
    </font>
    <font>
      <i/>
      <sz val="7"/>
      <name val="Arial Cyr"/>
      <charset val="204"/>
    </font>
    <font>
      <i/>
      <sz val="8"/>
      <name val="Arial Cyr"/>
      <charset val="204"/>
    </font>
    <font>
      <b/>
      <i/>
      <sz val="7"/>
      <name val="Arial Cyr"/>
      <charset val="204"/>
    </font>
    <font>
      <sz val="7"/>
      <name val="Arial Cyr"/>
      <charset val="204"/>
    </font>
    <font>
      <i/>
      <sz val="9"/>
      <color indexed="10"/>
      <name val="Arial Cyr"/>
      <charset val="204"/>
    </font>
    <font>
      <b/>
      <i/>
      <sz val="8"/>
      <color rgb="FF0070C0"/>
      <name val="Arial Cyr"/>
      <charset val="204"/>
    </font>
    <font>
      <b/>
      <sz val="8"/>
      <color rgb="FF0070C0"/>
      <name val="Arial Cyr"/>
      <charset val="204"/>
    </font>
    <font>
      <i/>
      <sz val="8"/>
      <color rgb="FF0070C0"/>
      <name val="Arial Cyr"/>
      <charset val="204"/>
    </font>
    <font>
      <sz val="8"/>
      <color rgb="FF0070C0"/>
      <name val="Arial Cyr"/>
      <charset val="204"/>
    </font>
    <font>
      <b/>
      <i/>
      <sz val="8"/>
      <color theme="6" tint="-0.249977111117893"/>
      <name val="Arial Cyr"/>
      <charset val="204"/>
    </font>
    <font>
      <b/>
      <i/>
      <sz val="8"/>
      <color theme="9" tint="-0.499984740745262"/>
      <name val="Arial Cyr"/>
      <charset val="204"/>
    </font>
    <font>
      <i/>
      <sz val="8"/>
      <color theme="9" tint="-0.499984740745262"/>
      <name val="Arial Cyr"/>
      <charset val="204"/>
    </font>
    <font>
      <sz val="8"/>
      <color theme="9" tint="-0.49998474074526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38" fontId="1" fillId="0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 indent="1"/>
    </xf>
    <xf numFmtId="38" fontId="5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left" indent="1"/>
    </xf>
    <xf numFmtId="164" fontId="6" fillId="0" borderId="1" xfId="0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 indent="1"/>
    </xf>
    <xf numFmtId="4" fontId="1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0" fontId="0" fillId="0" borderId="0" xfId="0" applyNumberFormat="1"/>
    <xf numFmtId="40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indent="2"/>
    </xf>
    <xf numFmtId="40" fontId="3" fillId="0" borderId="1" xfId="0" applyNumberFormat="1" applyFont="1" applyFill="1" applyBorder="1" applyAlignment="1">
      <alignment horizontal="right" indent="1"/>
    </xf>
    <xf numFmtId="0" fontId="7" fillId="0" borderId="0" xfId="0" applyFont="1" applyAlignment="1">
      <alignment horizontal="right" indent="1"/>
    </xf>
    <xf numFmtId="164" fontId="2" fillId="0" borderId="1" xfId="0" applyNumberFormat="1" applyFont="1" applyFill="1" applyBorder="1" applyAlignment="1">
      <alignment horizontal="left" wrapText="1"/>
    </xf>
    <xf numFmtId="0" fontId="9" fillId="0" borderId="0" xfId="0" applyFont="1"/>
    <xf numFmtId="164" fontId="6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wrapText="1"/>
    </xf>
    <xf numFmtId="40" fontId="3" fillId="0" borderId="1" xfId="0" applyNumberFormat="1" applyFont="1" applyFill="1" applyBorder="1" applyAlignment="1">
      <alignment horizontal="right"/>
    </xf>
    <xf numFmtId="0" fontId="0" fillId="0" borderId="0" xfId="0" applyFont="1"/>
    <xf numFmtId="164" fontId="6" fillId="0" borderId="1" xfId="0" applyNumberFormat="1" applyFont="1" applyFill="1" applyBorder="1" applyAlignment="1">
      <alignment horizontal="right" indent="1"/>
    </xf>
    <xf numFmtId="164" fontId="6" fillId="0" borderId="1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>
      <alignment horizontal="right"/>
    </xf>
    <xf numFmtId="40" fontId="6" fillId="0" borderId="1" xfId="0" applyNumberFormat="1" applyFont="1" applyFill="1" applyBorder="1" applyAlignment="1">
      <alignment horizontal="right"/>
    </xf>
    <xf numFmtId="40" fontId="5" fillId="0" borderId="1" xfId="0" applyNumberFormat="1" applyFont="1" applyFill="1" applyBorder="1" applyAlignment="1">
      <alignment horizontal="right"/>
    </xf>
    <xf numFmtId="40" fontId="4" fillId="0" borderId="1" xfId="0" applyNumberFormat="1" applyFont="1" applyFill="1" applyBorder="1" applyAlignment="1">
      <alignment horizontal="right"/>
    </xf>
    <xf numFmtId="40" fontId="2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40" fontId="0" fillId="0" borderId="0" xfId="0" applyNumberFormat="1" applyAlignment="1"/>
    <xf numFmtId="40" fontId="1" fillId="2" borderId="1" xfId="0" applyNumberFormat="1" applyFont="1" applyFill="1" applyBorder="1" applyAlignment="1"/>
    <xf numFmtId="40" fontId="1" fillId="0" borderId="1" xfId="0" applyNumberFormat="1" applyFont="1" applyFill="1" applyBorder="1" applyAlignment="1"/>
    <xf numFmtId="40" fontId="6" fillId="0" borderId="1" xfId="0" applyNumberFormat="1" applyFont="1" applyFill="1" applyBorder="1" applyAlignment="1"/>
    <xf numFmtId="40" fontId="2" fillId="0" borderId="1" xfId="0" applyNumberFormat="1" applyFont="1" applyFill="1" applyBorder="1" applyAlignment="1"/>
    <xf numFmtId="40" fontId="3" fillId="0" borderId="1" xfId="0" applyNumberFormat="1" applyFont="1" applyFill="1" applyBorder="1" applyAlignment="1"/>
    <xf numFmtId="40" fontId="2" fillId="0" borderId="1" xfId="0" applyNumberFormat="1" applyFont="1" applyFill="1" applyBorder="1" applyAlignment="1">
      <alignment wrapText="1"/>
    </xf>
    <xf numFmtId="40" fontId="5" fillId="0" borderId="1" xfId="0" applyNumberFormat="1" applyFont="1" applyFill="1" applyBorder="1" applyAlignment="1"/>
    <xf numFmtId="40" fontId="6" fillId="3" borderId="1" xfId="0" applyNumberFormat="1" applyFont="1" applyFill="1" applyBorder="1" applyAlignment="1">
      <alignment horizontal="right"/>
    </xf>
    <xf numFmtId="40" fontId="5" fillId="4" borderId="1" xfId="0" applyNumberFormat="1" applyFont="1" applyFill="1" applyBorder="1" applyAlignment="1">
      <alignment horizontal="right"/>
    </xf>
    <xf numFmtId="40" fontId="6" fillId="0" borderId="1" xfId="0" applyNumberFormat="1" applyFont="1" applyFill="1" applyBorder="1" applyAlignment="1">
      <alignment horizontal="left" indent="1"/>
    </xf>
    <xf numFmtId="40" fontId="7" fillId="0" borderId="0" xfId="0" applyNumberFormat="1" applyFont="1"/>
    <xf numFmtId="40" fontId="2" fillId="0" borderId="1" xfId="0" applyNumberFormat="1" applyFont="1" applyFill="1" applyBorder="1" applyAlignment="1">
      <alignment horizontal="left" indent="1"/>
    </xf>
    <xf numFmtId="40" fontId="0" fillId="0" borderId="0" xfId="0" applyNumberFormat="1" applyFont="1"/>
    <xf numFmtId="40" fontId="3" fillId="0" borderId="1" xfId="0" applyNumberFormat="1" applyFont="1" applyFill="1" applyBorder="1" applyAlignment="1">
      <alignment horizontal="right" indent="2"/>
    </xf>
    <xf numFmtId="40" fontId="7" fillId="0" borderId="0" xfId="0" applyNumberFormat="1" applyFont="1" applyAlignment="1">
      <alignment horizontal="right" indent="1"/>
    </xf>
    <xf numFmtId="40" fontId="5" fillId="5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0" fontId="0" fillId="0" borderId="0" xfId="0" applyNumberFormat="1" applyFont="1" applyAlignment="1"/>
    <xf numFmtId="40" fontId="1" fillId="0" borderId="1" xfId="0" applyNumberFormat="1" applyFont="1" applyFill="1" applyBorder="1" applyAlignment="1">
      <alignment horizontal="left" vertical="center"/>
    </xf>
    <xf numFmtId="40" fontId="2" fillId="0" borderId="1" xfId="0" applyNumberFormat="1" applyFont="1" applyFill="1" applyBorder="1" applyAlignment="1">
      <alignment horizontal="left" vertical="center"/>
    </xf>
    <xf numFmtId="40" fontId="6" fillId="0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right"/>
    </xf>
    <xf numFmtId="0" fontId="7" fillId="0" borderId="0" xfId="0" applyFont="1" applyFill="1"/>
    <xf numFmtId="40" fontId="0" fillId="0" borderId="0" xfId="0" applyNumberFormat="1" applyFont="1" applyFill="1"/>
    <xf numFmtId="2" fontId="1" fillId="0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40" fontId="10" fillId="0" borderId="0" xfId="0" applyNumberFormat="1" applyFont="1" applyAlignment="1">
      <alignment horizontal="left" vertical="center"/>
    </xf>
    <xf numFmtId="40" fontId="10" fillId="7" borderId="0" xfId="0" applyNumberFormat="1" applyFont="1" applyFill="1" applyAlignment="1">
      <alignment horizontal="left" vertical="center"/>
    </xf>
    <xf numFmtId="40" fontId="0" fillId="0" borderId="0" xfId="0" applyNumberFormat="1" applyAlignment="1">
      <alignment horizontal="left" vertical="center"/>
    </xf>
    <xf numFmtId="165" fontId="11" fillId="2" borderId="1" xfId="0" applyNumberFormat="1" applyFont="1" applyFill="1" applyBorder="1" applyAlignment="1">
      <alignment horizontal="center" vertical="center"/>
    </xf>
    <xf numFmtId="40" fontId="11" fillId="2" borderId="1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/>
    </xf>
    <xf numFmtId="40" fontId="1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left" vertical="center"/>
    </xf>
    <xf numFmtId="40" fontId="11" fillId="0" borderId="1" xfId="0" applyNumberFormat="1" applyFont="1" applyFill="1" applyBorder="1" applyAlignment="1">
      <alignment horizontal="left" vertical="center"/>
    </xf>
    <xf numFmtId="40" fontId="11" fillId="7" borderId="1" xfId="0" applyNumberFormat="1" applyFont="1" applyFill="1" applyBorder="1" applyAlignment="1">
      <alignment horizontal="left" vertical="center"/>
    </xf>
    <xf numFmtId="164" fontId="12" fillId="0" borderId="1" xfId="0" applyNumberFormat="1" applyFont="1" applyFill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 indent="1"/>
    </xf>
    <xf numFmtId="40" fontId="11" fillId="0" borderId="1" xfId="0" applyNumberFormat="1" applyFont="1" applyFill="1" applyBorder="1" applyAlignment="1">
      <alignment horizontal="left" vertical="center" indent="1"/>
    </xf>
    <xf numFmtId="40" fontId="11" fillId="7" borderId="1" xfId="0" applyNumberFormat="1" applyFont="1" applyFill="1" applyBorder="1" applyAlignment="1">
      <alignment horizontal="left" vertical="center" indent="1"/>
    </xf>
    <xf numFmtId="40" fontId="13" fillId="0" borderId="1" xfId="0" applyNumberFormat="1" applyFont="1" applyFill="1" applyBorder="1" applyAlignment="1">
      <alignment horizontal="left" vertical="center"/>
    </xf>
    <xf numFmtId="164" fontId="13" fillId="0" borderId="1" xfId="0" applyNumberFormat="1" applyFont="1" applyFill="1" applyBorder="1" applyAlignment="1">
      <alignment horizontal="left" vertical="center"/>
    </xf>
    <xf numFmtId="40" fontId="13" fillId="7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0" fontId="14" fillId="0" borderId="1" xfId="0" applyNumberFormat="1" applyFont="1" applyFill="1" applyBorder="1" applyAlignment="1">
      <alignment horizontal="left" vertical="center"/>
    </xf>
    <xf numFmtId="40" fontId="14" fillId="7" borderId="1" xfId="0" applyNumberFormat="1" applyFont="1" applyFill="1" applyBorder="1" applyAlignment="1">
      <alignment horizontal="left" vertical="center"/>
    </xf>
    <xf numFmtId="40" fontId="15" fillId="0" borderId="1" xfId="0" applyNumberFormat="1" applyFont="1" applyFill="1" applyBorder="1" applyAlignment="1">
      <alignment horizontal="left" vertical="center"/>
    </xf>
    <xf numFmtId="164" fontId="16" fillId="0" borderId="1" xfId="0" applyNumberFormat="1" applyFont="1" applyFill="1" applyBorder="1" applyAlignment="1">
      <alignment horizontal="left" vertical="center"/>
    </xf>
    <xf numFmtId="40" fontId="16" fillId="0" borderId="1" xfId="0" applyNumberFormat="1" applyFont="1" applyFill="1" applyBorder="1" applyAlignment="1">
      <alignment horizontal="left" vertical="center"/>
    </xf>
    <xf numFmtId="40" fontId="16" fillId="7" borderId="1" xfId="0" applyNumberFormat="1" applyFont="1" applyFill="1" applyBorder="1" applyAlignment="1">
      <alignment horizontal="left" vertical="center"/>
    </xf>
    <xf numFmtId="40" fontId="12" fillId="0" borderId="1" xfId="0" applyNumberFormat="1" applyFont="1" applyFill="1" applyBorder="1" applyAlignment="1">
      <alignment horizontal="left" vertical="center"/>
    </xf>
    <xf numFmtId="40" fontId="17" fillId="0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 vertical="center"/>
    </xf>
    <xf numFmtId="40" fontId="10" fillId="0" borderId="1" xfId="0" applyNumberFormat="1" applyFont="1" applyFill="1" applyBorder="1" applyAlignment="1">
      <alignment horizontal="left" vertical="center"/>
    </xf>
    <xf numFmtId="40" fontId="15" fillId="7" borderId="1" xfId="0" applyNumberFormat="1" applyFont="1" applyFill="1" applyBorder="1" applyAlignment="1">
      <alignment horizontal="left" vertical="center"/>
    </xf>
    <xf numFmtId="40" fontId="12" fillId="7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right"/>
    </xf>
    <xf numFmtId="40" fontId="2" fillId="6" borderId="1" xfId="0" applyNumberFormat="1" applyFont="1" applyFill="1" applyBorder="1" applyAlignment="1">
      <alignment horizontal="right"/>
    </xf>
    <xf numFmtId="40" fontId="0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2" fontId="18" fillId="0" borderId="1" xfId="0" applyNumberFormat="1" applyFont="1" applyFill="1" applyBorder="1" applyAlignment="1">
      <alignment horizontal="right"/>
    </xf>
    <xf numFmtId="166" fontId="7" fillId="0" borderId="0" xfId="0" applyNumberFormat="1" applyFont="1"/>
    <xf numFmtId="40" fontId="7" fillId="0" borderId="1" xfId="0" applyNumberFormat="1" applyFont="1" applyFill="1" applyBorder="1" applyAlignment="1">
      <alignment horizontal="right"/>
    </xf>
    <xf numFmtId="0" fontId="8" fillId="0" borderId="0" xfId="0" applyFont="1" applyFill="1"/>
    <xf numFmtId="40" fontId="1" fillId="2" borderId="2" xfId="0" applyNumberFormat="1" applyFont="1" applyFill="1" applyBorder="1" applyAlignment="1">
      <alignment horizontal="center"/>
    </xf>
    <xf numFmtId="0" fontId="0" fillId="0" borderId="1" xfId="0" applyBorder="1"/>
    <xf numFmtId="166" fontId="7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Fill="1" applyBorder="1"/>
    <xf numFmtId="40" fontId="7" fillId="0" borderId="1" xfId="0" applyNumberFormat="1" applyFont="1" applyBorder="1"/>
    <xf numFmtId="0" fontId="10" fillId="0" borderId="0" xfId="0" applyFont="1"/>
    <xf numFmtId="40" fontId="10" fillId="0" borderId="0" xfId="0" applyNumberFormat="1" applyFont="1"/>
    <xf numFmtId="40" fontId="10" fillId="0" borderId="0" xfId="0" applyNumberFormat="1" applyFont="1" applyAlignment="1"/>
    <xf numFmtId="164" fontId="11" fillId="2" borderId="1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40" fontId="11" fillId="2" borderId="1" xfId="0" applyNumberFormat="1" applyFont="1" applyFill="1" applyBorder="1" applyAlignment="1">
      <alignment horizontal="center"/>
    </xf>
    <xf numFmtId="40" fontId="11" fillId="2" borderId="0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right"/>
    </xf>
    <xf numFmtId="40" fontId="11" fillId="0" borderId="1" xfId="0" applyNumberFormat="1" applyFont="1" applyFill="1" applyBorder="1" applyAlignment="1">
      <alignment horizontal="right"/>
    </xf>
    <xf numFmtId="40" fontId="11" fillId="0" borderId="1" xfId="0" applyNumberFormat="1" applyFont="1" applyFill="1" applyBorder="1" applyAlignment="1">
      <alignment horizontal="center"/>
    </xf>
    <xf numFmtId="40" fontId="11" fillId="0" borderId="0" xfId="0" applyNumberFormat="1" applyFont="1" applyFill="1" applyBorder="1" applyAlignment="1">
      <alignment horizontal="center"/>
    </xf>
    <xf numFmtId="40" fontId="11" fillId="0" borderId="1" xfId="0" applyNumberFormat="1" applyFont="1" applyFill="1" applyBorder="1" applyAlignment="1"/>
    <xf numFmtId="40" fontId="11" fillId="0" borderId="0" xfId="0" applyNumberFormat="1" applyFont="1" applyFill="1" applyBorder="1" applyAlignment="1"/>
    <xf numFmtId="164" fontId="12" fillId="0" borderId="1" xfId="0" applyNumberFormat="1" applyFont="1" applyFill="1" applyBorder="1" applyAlignment="1">
      <alignment horizontal="left" indent="1"/>
    </xf>
    <xf numFmtId="40" fontId="12" fillId="0" borderId="1" xfId="0" applyNumberFormat="1" applyFont="1" applyFill="1" applyBorder="1" applyAlignment="1">
      <alignment horizontal="right"/>
    </xf>
    <xf numFmtId="40" fontId="12" fillId="0" borderId="1" xfId="0" applyNumberFormat="1" applyFont="1" applyFill="1" applyBorder="1" applyAlignment="1"/>
    <xf numFmtId="40" fontId="12" fillId="0" borderId="0" xfId="0" applyNumberFormat="1" applyFont="1" applyFill="1" applyBorder="1" applyAlignment="1"/>
    <xf numFmtId="166" fontId="11" fillId="0" borderId="0" xfId="0" applyNumberFormat="1" applyFont="1"/>
    <xf numFmtId="40" fontId="11" fillId="0" borderId="0" xfId="0" applyNumberFormat="1" applyFont="1"/>
    <xf numFmtId="0" fontId="11" fillId="0" borderId="0" xfId="0" applyFont="1"/>
    <xf numFmtId="40" fontId="15" fillId="0" borderId="1" xfId="0" applyNumberFormat="1" applyFont="1" applyFill="1" applyBorder="1" applyAlignment="1">
      <alignment horizontal="right"/>
    </xf>
    <xf numFmtId="164" fontId="15" fillId="0" borderId="1" xfId="0" applyNumberFormat="1" applyFont="1" applyFill="1" applyBorder="1" applyAlignment="1">
      <alignment horizontal="left"/>
    </xf>
    <xf numFmtId="40" fontId="15" fillId="0" borderId="1" xfId="0" applyNumberFormat="1" applyFont="1" applyFill="1" applyBorder="1" applyAlignment="1"/>
    <xf numFmtId="40" fontId="15" fillId="0" borderId="0" xfId="0" applyNumberFormat="1" applyFont="1" applyFill="1" applyBorder="1" applyAlignment="1"/>
    <xf numFmtId="2" fontId="15" fillId="0" borderId="1" xfId="0" applyNumberFormat="1" applyFont="1" applyFill="1" applyBorder="1" applyAlignment="1">
      <alignment horizontal="right"/>
    </xf>
    <xf numFmtId="4" fontId="15" fillId="0" borderId="1" xfId="0" applyNumberFormat="1" applyFont="1" applyFill="1" applyBorder="1" applyAlignment="1">
      <alignment horizontal="right"/>
    </xf>
    <xf numFmtId="164" fontId="15" fillId="0" borderId="1" xfId="0" applyNumberFormat="1" applyFont="1" applyFill="1" applyBorder="1" applyAlignment="1">
      <alignment horizontal="right"/>
    </xf>
    <xf numFmtId="40" fontId="12" fillId="0" borderId="1" xfId="0" applyNumberFormat="1" applyFont="1" applyFill="1" applyBorder="1" applyAlignment="1">
      <alignment horizontal="left" indent="1"/>
    </xf>
    <xf numFmtId="2" fontId="12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1" fillId="0" borderId="0" xfId="0" applyFont="1" applyFill="1"/>
    <xf numFmtId="164" fontId="11" fillId="0" borderId="1" xfId="0" applyNumberFormat="1" applyFont="1" applyFill="1" applyBorder="1" applyAlignment="1">
      <alignment horizontal="right" indent="2"/>
    </xf>
    <xf numFmtId="164" fontId="19" fillId="0" borderId="1" xfId="0" applyNumberFormat="1" applyFont="1" applyFill="1" applyBorder="1" applyAlignment="1">
      <alignment horizontal="right" indent="1"/>
    </xf>
    <xf numFmtId="164" fontId="19" fillId="0" borderId="1" xfId="0" applyNumberFormat="1" applyFont="1" applyFill="1" applyBorder="1" applyAlignment="1">
      <alignment horizontal="right"/>
    </xf>
    <xf numFmtId="40" fontId="19" fillId="0" borderId="1" xfId="0" applyNumberFormat="1" applyFont="1" applyFill="1" applyBorder="1" applyAlignment="1">
      <alignment horizontal="right"/>
    </xf>
    <xf numFmtId="40" fontId="19" fillId="0" borderId="1" xfId="0" applyNumberFormat="1" applyFont="1" applyFill="1" applyBorder="1" applyAlignment="1"/>
    <xf numFmtId="40" fontId="19" fillId="0" borderId="0" xfId="0" applyNumberFormat="1" applyFont="1" applyFill="1" applyBorder="1" applyAlignment="1"/>
    <xf numFmtId="0" fontId="20" fillId="0" borderId="0" xfId="0" applyFont="1"/>
    <xf numFmtId="164" fontId="12" fillId="0" borderId="1" xfId="0" applyNumberFormat="1" applyFont="1" applyFill="1" applyBorder="1" applyAlignment="1">
      <alignment horizontal="right" indent="1"/>
    </xf>
    <xf numFmtId="40" fontId="15" fillId="0" borderId="1" xfId="0" applyNumberFormat="1" applyFont="1" applyFill="1" applyBorder="1" applyAlignment="1">
      <alignment horizontal="left" indent="1"/>
    </xf>
    <xf numFmtId="40" fontId="10" fillId="0" borderId="0" xfId="0" applyNumberFormat="1" applyFont="1" applyFill="1"/>
    <xf numFmtId="40" fontId="21" fillId="0" borderId="1" xfId="0" applyNumberFormat="1" applyFont="1" applyFill="1" applyBorder="1" applyAlignment="1">
      <alignment horizontal="right"/>
    </xf>
    <xf numFmtId="40" fontId="21" fillId="0" borderId="0" xfId="0" applyNumberFormat="1" applyFont="1" applyFill="1" applyBorder="1" applyAlignment="1"/>
    <xf numFmtId="40" fontId="22" fillId="0" borderId="0" xfId="0" applyNumberFormat="1" applyFont="1"/>
    <xf numFmtId="40" fontId="11" fillId="0" borderId="1" xfId="0" applyNumberFormat="1" applyFont="1" applyFill="1" applyBorder="1" applyAlignment="1">
      <alignment horizontal="right" indent="2"/>
    </xf>
    <xf numFmtId="164" fontId="11" fillId="0" borderId="1" xfId="0" applyNumberFormat="1" applyFont="1" applyFill="1" applyBorder="1" applyAlignment="1">
      <alignment horizontal="right" indent="1"/>
    </xf>
    <xf numFmtId="40" fontId="11" fillId="0" borderId="1" xfId="0" applyNumberFormat="1" applyFont="1" applyFill="1" applyBorder="1" applyAlignment="1">
      <alignment horizontal="right" indent="1"/>
    </xf>
    <xf numFmtId="164" fontId="12" fillId="0" borderId="1" xfId="0" applyNumberFormat="1" applyFont="1" applyFill="1" applyBorder="1" applyAlignment="1">
      <alignment horizontal="left"/>
    </xf>
    <xf numFmtId="166" fontId="20" fillId="0" borderId="0" xfId="0" applyNumberFormat="1" applyFont="1"/>
    <xf numFmtId="40" fontId="12" fillId="0" borderId="1" xfId="0" applyNumberFormat="1" applyFont="1" applyFill="1" applyBorder="1" applyAlignment="1">
      <alignment wrapText="1"/>
    </xf>
    <xf numFmtId="166" fontId="10" fillId="0" borderId="0" xfId="0" applyNumberFormat="1" applyFont="1"/>
    <xf numFmtId="40" fontId="20" fillId="0" borderId="1" xfId="0" applyNumberFormat="1" applyFont="1" applyFill="1" applyBorder="1" applyAlignment="1">
      <alignment horizontal="right"/>
    </xf>
    <xf numFmtId="40" fontId="20" fillId="0" borderId="1" xfId="0" applyNumberFormat="1" applyFont="1" applyFill="1" applyBorder="1" applyAlignment="1"/>
    <xf numFmtId="40" fontId="23" fillId="0" borderId="1" xfId="0" applyNumberFormat="1" applyFont="1" applyFill="1" applyBorder="1" applyAlignment="1">
      <alignment wrapText="1"/>
    </xf>
    <xf numFmtId="0" fontId="22" fillId="0" borderId="0" xfId="0" applyFont="1"/>
    <xf numFmtId="166" fontId="22" fillId="0" borderId="0" xfId="0" applyNumberFormat="1" applyFont="1"/>
    <xf numFmtId="164" fontId="11" fillId="0" borderId="1" xfId="0" applyNumberFormat="1" applyFont="1" applyFill="1" applyBorder="1" applyAlignment="1">
      <alignment horizontal="left"/>
    </xf>
    <xf numFmtId="164" fontId="15" fillId="0" borderId="1" xfId="0" applyNumberFormat="1" applyFont="1" applyFill="1" applyBorder="1" applyAlignment="1">
      <alignment horizontal="left" wrapText="1"/>
    </xf>
    <xf numFmtId="40" fontId="15" fillId="0" borderId="1" xfId="0" applyNumberFormat="1" applyFont="1" applyFill="1" applyBorder="1" applyAlignment="1">
      <alignment wrapText="1"/>
    </xf>
    <xf numFmtId="40" fontId="15" fillId="0" borderId="0" xfId="0" applyNumberFormat="1" applyFont="1" applyFill="1" applyBorder="1" applyAlignment="1">
      <alignment wrapText="1"/>
    </xf>
    <xf numFmtId="40" fontId="12" fillId="0" borderId="0" xfId="0" applyNumberFormat="1" applyFont="1" applyFill="1" applyBorder="1" applyAlignment="1">
      <alignment wrapText="1"/>
    </xf>
    <xf numFmtId="164" fontId="15" fillId="0" borderId="1" xfId="0" applyNumberFormat="1" applyFont="1" applyFill="1" applyBorder="1" applyAlignment="1">
      <alignment wrapText="1"/>
    </xf>
    <xf numFmtId="0" fontId="12" fillId="0" borderId="1" xfId="0" applyFont="1" applyFill="1" applyBorder="1" applyAlignment="1">
      <alignment horizontal="left"/>
    </xf>
    <xf numFmtId="164" fontId="24" fillId="0" borderId="1" xfId="0" applyNumberFormat="1" applyFont="1" applyFill="1" applyBorder="1" applyAlignment="1">
      <alignment horizontal="right" indent="1"/>
    </xf>
    <xf numFmtId="40" fontId="25" fillId="0" borderId="1" xfId="0" applyNumberFormat="1" applyFont="1" applyFill="1" applyBorder="1" applyAlignment="1">
      <alignment horizontal="right"/>
    </xf>
    <xf numFmtId="40" fontId="24" fillId="0" borderId="1" xfId="0" applyNumberFormat="1" applyFont="1" applyFill="1" applyBorder="1" applyAlignment="1">
      <alignment horizontal="right"/>
    </xf>
    <xf numFmtId="40" fontId="24" fillId="0" borderId="1" xfId="0" applyNumberFormat="1" applyFont="1" applyFill="1" applyBorder="1" applyAlignment="1"/>
    <xf numFmtId="40" fontId="25" fillId="0" borderId="0" xfId="0" applyNumberFormat="1" applyFont="1" applyFill="1" applyBorder="1" applyAlignment="1"/>
    <xf numFmtId="40" fontId="26" fillId="0" borderId="0" xfId="0" applyNumberFormat="1" applyFont="1"/>
    <xf numFmtId="40" fontId="25" fillId="0" borderId="1" xfId="0" applyNumberFormat="1" applyFont="1" applyFill="1" applyBorder="1" applyAlignment="1"/>
    <xf numFmtId="164" fontId="20" fillId="0" borderId="1" xfId="0" applyNumberFormat="1" applyFont="1" applyFill="1" applyBorder="1" applyAlignment="1"/>
    <xf numFmtId="40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2.xml" /><Relationship Id="rId5" Type="http://schemas.openxmlformats.org/officeDocument/2006/relationships/externalLink" Target="externalLinks/externalLink1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ocuments/3%20&#1057;&#1077;&#1074;&#1077;&#1088;&#1080;&#1085;&#1086;&#1074;&#1082;&#1072;/&#1041;&#1091;&#1093;&#1075;&#1072;&#1083;&#1090;&#1077;&#1088;%20&#1070;&#1083;&#1103;/19-11/&#1086;&#1090;&#1095;&#1077;&#1090;%2030.12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ocuments/3%20&#1057;&#1077;&#1074;&#1077;&#1088;&#1080;&#1085;&#1086;&#1074;&#1082;&#1072;/&#1041;&#1091;&#1093;&#1075;&#1072;&#1083;&#1090;&#1077;&#1088;%20&#1070;&#1083;&#1103;/19-12/&#1086;&#1090;&#1095;&#1077;&#1090;%2030.12%20%20200125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"/>
      <sheetName val="Движение ДС"/>
      <sheetName val="Лист1"/>
    </sheetNames>
    <sheetDataSet>
      <sheetData sheetId="0"/>
      <sheetData sheetId="1">
        <row r="32">
          <cell r="C32">
            <v>-280530.83000000007</v>
          </cell>
          <cell r="D32">
            <v>-130392.31000000017</v>
          </cell>
          <cell r="E32">
            <v>-349455.74999999988</v>
          </cell>
          <cell r="F32">
            <v>-329015.93000000005</v>
          </cell>
          <cell r="G32">
            <v>-229530.68999999994</v>
          </cell>
          <cell r="H32">
            <v>59895.489999999991</v>
          </cell>
          <cell r="I32">
            <v>-366590.23999999987</v>
          </cell>
          <cell r="J32">
            <v>-285089.29000000015</v>
          </cell>
          <cell r="K32">
            <v>-480756.98</v>
          </cell>
        </row>
        <row r="36">
          <cell r="C36">
            <v>-16795.75</v>
          </cell>
          <cell r="D36">
            <v>-34.880000000004657</v>
          </cell>
          <cell r="E36">
            <v>-60617.219999999856</v>
          </cell>
          <cell r="F36">
            <v>111970.64999999991</v>
          </cell>
          <cell r="G36">
            <v>42127.220000000088</v>
          </cell>
          <cell r="H36">
            <v>427597.6100000001</v>
          </cell>
          <cell r="I36">
            <v>143184.64000000001</v>
          </cell>
          <cell r="J36">
            <v>-43878.030000000028</v>
          </cell>
          <cell r="K36">
            <v>-60796.060000000056</v>
          </cell>
        </row>
        <row r="38">
          <cell r="C38">
            <v>263735.08000000007</v>
          </cell>
          <cell r="D38">
            <v>130357.43000000017</v>
          </cell>
          <cell r="E38">
            <v>288838.53000000003</v>
          </cell>
          <cell r="F38">
            <v>440986.57999999996</v>
          </cell>
          <cell r="G38">
            <v>271657.91000000003</v>
          </cell>
          <cell r="H38">
            <v>367702.12000000011</v>
          </cell>
          <cell r="I38">
            <v>509774.87999999989</v>
          </cell>
          <cell r="J38">
            <v>241211.26000000013</v>
          </cell>
          <cell r="K38">
            <v>419960.91999999993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"/>
      <sheetName val="Движение ДС"/>
      <sheetName val="Лист1"/>
    </sheetNames>
    <sheetDataSet>
      <sheetData sheetId="0" refreshError="1"/>
      <sheetData sheetId="1">
        <row r="32">
          <cell r="L32">
            <v>403773.92000000016</v>
          </cell>
          <cell r="M32">
            <v>-435540.58999999985</v>
          </cell>
        </row>
        <row r="36">
          <cell r="L36">
            <v>384158.70000000019</v>
          </cell>
          <cell r="M36">
            <v>-452487.07000000007</v>
          </cell>
        </row>
        <row r="38">
          <cell r="L38">
            <v>-19615.219999999972</v>
          </cell>
          <cell r="M38">
            <v>-16946.480000000214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4"/>
  <sheetViews>
    <sheetView zoomScale="90" zoomScaleNormal="90" workbookViewId="0">
      <selection activeCell="AS15" sqref="AS15"/>
    </sheetView>
  </sheetViews>
  <sheetFormatPr defaultRowHeight="12.75" x14ac:dyDescent="0.15"/>
  <cols>
    <col min="1" max="1" width="50.97265625" customWidth="1"/>
    <col min="2" max="2" width="10.11328125" style="41" customWidth="1"/>
    <col min="3" max="3" width="13.078125" customWidth="1"/>
    <col min="4" max="4" width="13.34765625" customWidth="1"/>
    <col min="5" max="7" width="13.34765625" hidden="1" customWidth="1"/>
    <col min="8" max="8" width="12.5390625" hidden="1" customWidth="1"/>
    <col min="9" max="9" width="12.80859375" hidden="1" customWidth="1"/>
    <col min="10" max="10" width="13.484375" hidden="1" customWidth="1"/>
    <col min="11" max="11" width="12.40625" hidden="1" customWidth="1"/>
    <col min="12" max="12" width="13.75390625" hidden="1" customWidth="1"/>
    <col min="13" max="13" width="13.34765625" style="25" hidden="1" customWidth="1"/>
    <col min="14" max="14" width="11.8671875" style="25" hidden="1" customWidth="1"/>
    <col min="15" max="15" width="12.26953125" style="25" hidden="1" customWidth="1"/>
    <col min="16" max="16" width="13.34765625" style="25" hidden="1" customWidth="1"/>
    <col min="17" max="18" width="12.26953125" style="25" hidden="1" customWidth="1"/>
    <col min="19" max="19" width="14.6953125" style="25" hidden="1" customWidth="1"/>
    <col min="20" max="20" width="12.67578125" style="25" hidden="1" customWidth="1"/>
    <col min="21" max="24" width="13.88671875" style="25" hidden="1" customWidth="1"/>
    <col min="25" max="27" width="13.75390625" style="25" hidden="1" customWidth="1"/>
    <col min="28" max="30" width="15.91015625" style="25" hidden="1" customWidth="1"/>
    <col min="31" max="31" width="14.83203125" style="25" hidden="1" customWidth="1"/>
    <col min="32" max="32" width="11.73046875" hidden="1" customWidth="1"/>
    <col min="33" max="33" width="12.67578125" hidden="1" customWidth="1"/>
    <col min="34" max="34" width="14.15625" hidden="1" customWidth="1"/>
    <col min="35" max="35" width="13.078125" hidden="1" customWidth="1"/>
    <col min="36" max="36" width="11.73046875" hidden="1" customWidth="1"/>
    <col min="37" max="37" width="14.42578125" customWidth="1"/>
    <col min="38" max="38" width="11.0546875" hidden="1" customWidth="1"/>
    <col min="39" max="39" width="12" hidden="1" customWidth="1"/>
    <col min="40" max="41" width="13.6171875" customWidth="1"/>
    <col min="43" max="43" width="12.26953125" bestFit="1" customWidth="1"/>
  </cols>
  <sheetData>
    <row r="1" spans="1:43" x14ac:dyDescent="0.15">
      <c r="A1" t="s">
        <v>160</v>
      </c>
      <c r="M1"/>
      <c r="N1"/>
      <c r="O1"/>
      <c r="P1"/>
      <c r="Q1"/>
      <c r="R1"/>
      <c r="AF1" s="25"/>
      <c r="AG1" s="25"/>
      <c r="AH1" s="25"/>
      <c r="AI1" s="25"/>
      <c r="AJ1" s="25"/>
      <c r="AK1" s="25"/>
    </row>
    <row r="2" spans="1:43" x14ac:dyDescent="0.15">
      <c r="M2"/>
      <c r="N2"/>
      <c r="O2"/>
      <c r="P2"/>
      <c r="Q2" s="193" t="s">
        <v>103</v>
      </c>
      <c r="R2" s="193"/>
      <c r="T2" s="193" t="s">
        <v>102</v>
      </c>
      <c r="U2" s="193"/>
      <c r="W2" s="25" t="s">
        <v>104</v>
      </c>
      <c r="Z2" s="25" t="s">
        <v>105</v>
      </c>
      <c r="AF2" s="25"/>
      <c r="AG2" s="25"/>
      <c r="AH2" s="25"/>
      <c r="AI2" s="25"/>
      <c r="AJ2" s="25"/>
      <c r="AK2" s="25"/>
    </row>
    <row r="3" spans="1:43" x14ac:dyDescent="0.15">
      <c r="A3" s="2"/>
      <c r="B3" s="39" t="s">
        <v>85</v>
      </c>
      <c r="C3" s="8" t="s">
        <v>78</v>
      </c>
      <c r="D3" s="8" t="s">
        <v>12</v>
      </c>
      <c r="E3" s="8"/>
      <c r="F3" s="8"/>
      <c r="G3" s="8" t="s">
        <v>13</v>
      </c>
      <c r="H3" s="26" t="s">
        <v>100</v>
      </c>
      <c r="I3" s="26" t="s">
        <v>101</v>
      </c>
      <c r="J3" s="8" t="s">
        <v>14</v>
      </c>
      <c r="K3" s="26" t="s">
        <v>100</v>
      </c>
      <c r="L3" s="26" t="s">
        <v>101</v>
      </c>
      <c r="M3" s="8" t="s">
        <v>15</v>
      </c>
      <c r="N3" s="26" t="s">
        <v>100</v>
      </c>
      <c r="O3" s="26" t="s">
        <v>101</v>
      </c>
      <c r="P3" s="8" t="s">
        <v>16</v>
      </c>
      <c r="Q3" s="26" t="s">
        <v>100</v>
      </c>
      <c r="R3" s="26" t="s">
        <v>101</v>
      </c>
      <c r="S3" s="26" t="s">
        <v>17</v>
      </c>
      <c r="T3" s="26" t="s">
        <v>100</v>
      </c>
      <c r="U3" s="26" t="s">
        <v>101</v>
      </c>
      <c r="V3" s="26" t="s">
        <v>18</v>
      </c>
      <c r="W3" s="26" t="s">
        <v>100</v>
      </c>
      <c r="X3" s="26" t="s">
        <v>101</v>
      </c>
      <c r="Y3" s="26" t="s">
        <v>19</v>
      </c>
      <c r="Z3" s="26" t="s">
        <v>100</v>
      </c>
      <c r="AA3" s="26" t="s">
        <v>101</v>
      </c>
      <c r="AB3" s="26" t="s">
        <v>20</v>
      </c>
      <c r="AC3" s="26" t="s">
        <v>100</v>
      </c>
      <c r="AD3" s="26" t="s">
        <v>101</v>
      </c>
      <c r="AE3" s="26" t="s">
        <v>21</v>
      </c>
      <c r="AF3" s="26" t="s">
        <v>100</v>
      </c>
      <c r="AG3" s="26" t="s">
        <v>101</v>
      </c>
      <c r="AH3" s="26" t="s">
        <v>22</v>
      </c>
      <c r="AI3" s="26" t="s">
        <v>100</v>
      </c>
      <c r="AJ3" s="26" t="s">
        <v>101</v>
      </c>
      <c r="AK3" s="26" t="s">
        <v>1</v>
      </c>
      <c r="AL3" s="26" t="s">
        <v>100</v>
      </c>
      <c r="AM3" s="114" t="s">
        <v>101</v>
      </c>
      <c r="AN3" s="26" t="s">
        <v>100</v>
      </c>
      <c r="AO3" s="26" t="s">
        <v>101</v>
      </c>
    </row>
    <row r="4" spans="1:43" x14ac:dyDescent="0.15">
      <c r="A4" s="3" t="s">
        <v>83</v>
      </c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19"/>
      <c r="N4" s="19"/>
      <c r="O4" s="19"/>
      <c r="P4" s="19"/>
      <c r="Q4" s="19"/>
      <c r="R4" s="19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N4" s="115"/>
      <c r="AO4" s="115"/>
    </row>
    <row r="5" spans="1:43" s="15" customFormat="1" x14ac:dyDescent="0.15">
      <c r="A5" s="13" t="s">
        <v>23</v>
      </c>
      <c r="B5" s="40">
        <v>1165</v>
      </c>
      <c r="C5" s="14">
        <f>SUM(C6:C9)</f>
        <v>40543.800000000003</v>
      </c>
      <c r="D5" s="44">
        <f>SUM(D6:D9)</f>
        <v>109489.06999999999</v>
      </c>
      <c r="E5" s="44">
        <f>D5-C5</f>
        <v>68945.26999999999</v>
      </c>
      <c r="F5" s="44">
        <f>'Движение ДС Бух'!$B$36</f>
        <v>74735.270000000019</v>
      </c>
      <c r="G5" s="44">
        <f>SUM(G6:G9)</f>
        <v>92693.319999999992</v>
      </c>
      <c r="H5" s="44">
        <f>SUM(G5-D5)</f>
        <v>-16795.75</v>
      </c>
      <c r="I5" s="44">
        <f>SUM('[1]Движение ДС'!C36)</f>
        <v>-16795.75</v>
      </c>
      <c r="J5" s="44">
        <f>SUM(J6:J9)</f>
        <v>92658.439999999988</v>
      </c>
      <c r="K5" s="44">
        <f>J5-G5</f>
        <v>-34.880000000004657</v>
      </c>
      <c r="L5" s="44">
        <f>'[1]Движение ДС'!D36</f>
        <v>-34.880000000004657</v>
      </c>
      <c r="M5" s="44">
        <f>SUM(M6:M9)</f>
        <v>32041.22</v>
      </c>
      <c r="N5" s="44">
        <f>M5-J5</f>
        <v>-60617.219999999987</v>
      </c>
      <c r="O5" s="44">
        <f>'[1]Движение ДС'!E36</f>
        <v>-60617.219999999856</v>
      </c>
      <c r="P5" s="44">
        <f>SUM(P6:P9)</f>
        <v>123097.87</v>
      </c>
      <c r="Q5" s="57">
        <f>P5-M5</f>
        <v>91056.65</v>
      </c>
      <c r="R5" s="57">
        <f>'[1]Движение ДС'!$F$36</f>
        <v>111970.64999999991</v>
      </c>
      <c r="S5" s="44">
        <f>SUM(S6:S9)</f>
        <v>165225.09000000003</v>
      </c>
      <c r="T5" s="44">
        <f>S5-P5</f>
        <v>42127.22000000003</v>
      </c>
      <c r="U5" s="44">
        <f>'[1]Движение ДС'!$G$36</f>
        <v>42127.220000000088</v>
      </c>
      <c r="V5" s="44">
        <f>SUM(V6:V9)</f>
        <v>592822.69999999995</v>
      </c>
      <c r="W5" s="44">
        <f>V5-S5</f>
        <v>427597.60999999993</v>
      </c>
      <c r="X5" s="43">
        <f>'[1]Движение ДС'!$H$36</f>
        <v>427597.6100000001</v>
      </c>
      <c r="Y5" s="44">
        <f>SUM(Y6:Y9)</f>
        <v>736007.34</v>
      </c>
      <c r="Z5" s="44">
        <f>Y5-V5</f>
        <v>143184.64000000001</v>
      </c>
      <c r="AA5" s="44">
        <f>'[1]Движение ДС'!$I$36</f>
        <v>143184.64000000001</v>
      </c>
      <c r="AB5" s="44">
        <f>SUM(AB6:AB9)</f>
        <v>692129.30999999994</v>
      </c>
      <c r="AC5" s="44">
        <f>AB5-Y5</f>
        <v>-43878.030000000028</v>
      </c>
      <c r="AD5" s="44">
        <f>SUM('[1]Движение ДС'!J36)</f>
        <v>-43878.030000000028</v>
      </c>
      <c r="AE5" s="44">
        <f>SUM(AE6:AE9)</f>
        <v>631333.25</v>
      </c>
      <c r="AF5" s="44">
        <f>AE5-AB5</f>
        <v>-60796.059999999939</v>
      </c>
      <c r="AG5" s="44">
        <f>SUM('[1]Движение ДС'!K36)</f>
        <v>-60796.060000000056</v>
      </c>
      <c r="AH5" s="44">
        <f>SUM(AH6:AH9)</f>
        <v>1015491.95</v>
      </c>
      <c r="AI5" s="44">
        <f>SUM(AH5-AE5)</f>
        <v>384158.69999999995</v>
      </c>
      <c r="AJ5" s="44">
        <f>'[2]Движение ДС'!L36</f>
        <v>384158.70000000019</v>
      </c>
      <c r="AK5" s="44">
        <f>SUM(AK6:AK9)</f>
        <v>563004.87999999989</v>
      </c>
      <c r="AL5" s="111">
        <f>AK5-AH5</f>
        <v>-452487.07000000007</v>
      </c>
      <c r="AM5" s="60">
        <f>SUM('[2]Движение ДС'!M36)</f>
        <v>-452487.07000000007</v>
      </c>
      <c r="AN5" s="116">
        <f>AK5-C5</f>
        <v>522461.0799999999</v>
      </c>
      <c r="AO5" s="116">
        <v>519056</v>
      </c>
    </row>
    <row r="6" spans="1:43" x14ac:dyDescent="0.15">
      <c r="A6" s="4" t="s">
        <v>25</v>
      </c>
      <c r="B6" s="42"/>
      <c r="C6" s="21">
        <v>26436.65</v>
      </c>
      <c r="D6" s="21">
        <v>95324.92</v>
      </c>
      <c r="E6" s="21"/>
      <c r="F6" s="21"/>
      <c r="G6" s="21">
        <v>78472.17</v>
      </c>
      <c r="H6" s="21"/>
      <c r="I6" s="21"/>
      <c r="J6" s="21">
        <v>78437.289999999994</v>
      </c>
      <c r="K6" s="21"/>
      <c r="L6" s="21"/>
      <c r="M6" s="21">
        <v>17706.07</v>
      </c>
      <c r="N6" s="21"/>
      <c r="O6" s="21"/>
      <c r="P6" s="21">
        <v>108705.72</v>
      </c>
      <c r="Q6" s="21"/>
      <c r="R6" s="21"/>
      <c r="S6" s="45">
        <v>150832.94</v>
      </c>
      <c r="T6" s="45"/>
      <c r="U6" s="45"/>
      <c r="V6" s="45">
        <v>308430.55</v>
      </c>
      <c r="W6" s="45"/>
      <c r="X6" s="45"/>
      <c r="Y6" s="45">
        <v>451615.19</v>
      </c>
      <c r="Z6" s="45"/>
      <c r="AA6" s="45"/>
      <c r="AB6" s="45">
        <v>407837.16</v>
      </c>
      <c r="AC6" s="45"/>
      <c r="AD6" s="45"/>
      <c r="AE6" s="45">
        <v>347141.1</v>
      </c>
      <c r="AF6" s="45"/>
      <c r="AG6" s="45"/>
      <c r="AH6" s="45">
        <v>729319.8</v>
      </c>
      <c r="AI6" s="45"/>
      <c r="AJ6" s="45"/>
      <c r="AK6" s="45">
        <v>276932.73</v>
      </c>
      <c r="AN6" s="115"/>
      <c r="AO6" s="115"/>
    </row>
    <row r="7" spans="1:43" x14ac:dyDescent="0.15">
      <c r="A7" s="4" t="s">
        <v>26</v>
      </c>
      <c r="B7" s="42"/>
      <c r="C7" s="21">
        <v>2003.04</v>
      </c>
      <c r="D7" s="21">
        <v>2003.04</v>
      </c>
      <c r="E7" s="21"/>
      <c r="F7" s="21"/>
      <c r="G7" s="21">
        <v>2003.04</v>
      </c>
      <c r="H7" s="21"/>
      <c r="I7" s="21"/>
      <c r="J7" s="21">
        <v>2003.04</v>
      </c>
      <c r="K7" s="21"/>
      <c r="L7" s="21"/>
      <c r="M7" s="21">
        <v>2003.04</v>
      </c>
      <c r="N7" s="21"/>
      <c r="O7" s="21"/>
      <c r="P7" s="21">
        <v>2003.04</v>
      </c>
      <c r="Q7" s="21"/>
      <c r="R7" s="21"/>
      <c r="S7" s="45">
        <v>2003.04</v>
      </c>
      <c r="T7" s="45"/>
      <c r="U7" s="45"/>
      <c r="V7" s="45">
        <v>2003.04</v>
      </c>
      <c r="W7" s="45"/>
      <c r="X7" s="45"/>
      <c r="Y7" s="45">
        <v>2003.04</v>
      </c>
      <c r="Z7" s="45"/>
      <c r="AA7" s="45"/>
      <c r="AB7" s="45">
        <v>1903.04</v>
      </c>
      <c r="AC7" s="45"/>
      <c r="AD7" s="45"/>
      <c r="AE7" s="45">
        <v>1803.04</v>
      </c>
      <c r="AF7" s="45"/>
      <c r="AG7" s="45"/>
      <c r="AH7" s="45">
        <v>1703.04</v>
      </c>
      <c r="AI7" s="45"/>
      <c r="AJ7" s="45"/>
      <c r="AK7" s="45">
        <v>1603.04</v>
      </c>
      <c r="AN7" s="115"/>
      <c r="AO7" s="115"/>
    </row>
    <row r="8" spans="1:43" x14ac:dyDescent="0.15">
      <c r="A8" s="4" t="s">
        <v>26</v>
      </c>
      <c r="B8" s="42"/>
      <c r="C8" s="21">
        <v>11685.2</v>
      </c>
      <c r="D8" s="21">
        <v>11742.2</v>
      </c>
      <c r="E8" s="21"/>
      <c r="F8" s="21"/>
      <c r="G8" s="21">
        <v>11799.2</v>
      </c>
      <c r="H8" s="21"/>
      <c r="I8" s="21"/>
      <c r="J8" s="21">
        <v>11799.2</v>
      </c>
      <c r="K8" s="21"/>
      <c r="L8" s="21"/>
      <c r="M8" s="21">
        <v>11913.2</v>
      </c>
      <c r="N8" s="21"/>
      <c r="O8" s="21"/>
      <c r="P8" s="21">
        <v>11970.2</v>
      </c>
      <c r="Q8" s="21"/>
      <c r="R8" s="21"/>
      <c r="S8" s="45">
        <v>11970.2</v>
      </c>
      <c r="T8" s="45"/>
      <c r="U8" s="45"/>
      <c r="V8" s="45">
        <v>11970.2</v>
      </c>
      <c r="W8" s="45"/>
      <c r="X8" s="45"/>
      <c r="Y8" s="45">
        <v>11970.2</v>
      </c>
      <c r="Z8" s="45"/>
      <c r="AA8" s="45"/>
      <c r="AB8" s="45">
        <v>11970.2</v>
      </c>
      <c r="AC8" s="45"/>
      <c r="AD8" s="45"/>
      <c r="AE8" s="45">
        <v>11970.2</v>
      </c>
      <c r="AF8" s="45"/>
      <c r="AG8" s="45"/>
      <c r="AH8" s="45">
        <v>14050.2</v>
      </c>
      <c r="AI8" s="45"/>
      <c r="AJ8" s="45"/>
      <c r="AK8" s="45">
        <v>14050.2</v>
      </c>
      <c r="AN8" s="115"/>
      <c r="AO8" s="115"/>
    </row>
    <row r="9" spans="1:43" x14ac:dyDescent="0.15">
      <c r="A9" s="4" t="s">
        <v>26</v>
      </c>
      <c r="B9" s="42"/>
      <c r="C9" s="21">
        <v>418.91</v>
      </c>
      <c r="D9" s="21">
        <v>418.91</v>
      </c>
      <c r="E9" s="21"/>
      <c r="F9" s="21"/>
      <c r="G9" s="21">
        <v>418.91</v>
      </c>
      <c r="H9" s="21"/>
      <c r="I9" s="21"/>
      <c r="J9" s="21">
        <v>418.91</v>
      </c>
      <c r="K9" s="21"/>
      <c r="L9" s="21"/>
      <c r="M9" s="21">
        <v>418.91</v>
      </c>
      <c r="N9" s="21"/>
      <c r="O9" s="21"/>
      <c r="P9" s="21">
        <v>418.91</v>
      </c>
      <c r="Q9" s="21"/>
      <c r="R9" s="21"/>
      <c r="S9" s="45">
        <v>418.91</v>
      </c>
      <c r="T9" s="45"/>
      <c r="U9" s="45"/>
      <c r="V9" s="45">
        <v>270418.90999999997</v>
      </c>
      <c r="W9" s="45"/>
      <c r="X9" s="45"/>
      <c r="Y9" s="45">
        <v>270418.90999999997</v>
      </c>
      <c r="Z9" s="45"/>
      <c r="AA9" s="45"/>
      <c r="AB9" s="45">
        <v>270418.90999999997</v>
      </c>
      <c r="AC9" s="45"/>
      <c r="AD9" s="45"/>
      <c r="AE9" s="45">
        <v>270418.90999999997</v>
      </c>
      <c r="AF9" s="45"/>
      <c r="AG9" s="45"/>
      <c r="AH9" s="45">
        <v>270418.90999999997</v>
      </c>
      <c r="AI9" s="45"/>
      <c r="AJ9" s="45"/>
      <c r="AK9" s="45">
        <v>270418.90999999997</v>
      </c>
      <c r="AN9" s="115"/>
      <c r="AO9" s="115"/>
    </row>
    <row r="10" spans="1:43" s="15" customFormat="1" x14ac:dyDescent="0.15">
      <c r="A10" s="13" t="s">
        <v>4</v>
      </c>
      <c r="B10" s="40">
        <v>1155</v>
      </c>
      <c r="C10" s="44">
        <f>7378017.69</f>
        <v>7378017.6900000004</v>
      </c>
      <c r="D10" s="44">
        <f>SUM(D11:D14)</f>
        <v>7348348.7699999996</v>
      </c>
      <c r="E10" s="112">
        <f>D10-C10</f>
        <v>-29668.920000000857</v>
      </c>
      <c r="F10" s="54">
        <f>'Движение ДС Бух'!$B$32</f>
        <v>-27754.119999999879</v>
      </c>
      <c r="G10" s="44">
        <f>SUM(G11:G14)</f>
        <v>7628879.5999999996</v>
      </c>
      <c r="H10" s="108">
        <f>G10-D10</f>
        <v>280530.83000000007</v>
      </c>
      <c r="I10" s="44">
        <f>'[1]Движение ДС'!C32</f>
        <v>-280530.83000000007</v>
      </c>
      <c r="J10" s="44">
        <f>SUM(J11:J14)</f>
        <v>7759271.9099999992</v>
      </c>
      <c r="K10" s="44">
        <f>J10-G10</f>
        <v>130392.30999999959</v>
      </c>
      <c r="L10" s="44">
        <f>'[1]Движение ДС'!D32</f>
        <v>-130392.31000000017</v>
      </c>
      <c r="M10" s="44">
        <f>SUM(M11:M14)</f>
        <v>8108727.669999999</v>
      </c>
      <c r="N10" s="44">
        <f>M10-J10</f>
        <v>349455.75999999978</v>
      </c>
      <c r="O10" s="44">
        <f>'[1]Движение ДС'!E32</f>
        <v>-349455.74999999988</v>
      </c>
      <c r="P10" s="44">
        <f>SUM(P11:P14)</f>
        <v>8437743.5900000017</v>
      </c>
      <c r="Q10" s="44">
        <f>P10-M10</f>
        <v>329015.92000000272</v>
      </c>
      <c r="R10" s="44">
        <f>'[1]Движение ДС'!$F$32</f>
        <v>-329015.93000000005</v>
      </c>
      <c r="S10" s="44">
        <f>SUM(S11:S14)</f>
        <v>8667274.2800000012</v>
      </c>
      <c r="T10" s="44">
        <f>S10-P10</f>
        <v>229530.68999999948</v>
      </c>
      <c r="U10" s="44">
        <f>'[1]Движение ДС'!$G$32</f>
        <v>-229530.68999999994</v>
      </c>
      <c r="V10" s="44">
        <f>SUM(V11:V14)</f>
        <v>8607378.790000001</v>
      </c>
      <c r="W10" s="57">
        <f>V10-S10</f>
        <v>-59895.490000000224</v>
      </c>
      <c r="X10" s="57">
        <f>'[1]Движение ДС'!$H$32</f>
        <v>59895.489999999991</v>
      </c>
      <c r="Y10" s="44">
        <f>SUM(Y11:Y14)</f>
        <v>8973969.0300000012</v>
      </c>
      <c r="Z10" s="57">
        <f>Y10-V10</f>
        <v>366590.24000000022</v>
      </c>
      <c r="AA10" s="57">
        <f>'[1]Движение ДС'!$I$32</f>
        <v>-366590.23999999987</v>
      </c>
      <c r="AB10" s="44">
        <f>SUM(AB11:AB14)</f>
        <v>9259058.3199999984</v>
      </c>
      <c r="AC10" s="44">
        <f>AB10-Y10</f>
        <v>285089.28999999724</v>
      </c>
      <c r="AD10" s="44">
        <f>'[1]Движение ДС'!J32</f>
        <v>-285089.29000000015</v>
      </c>
      <c r="AE10" s="44">
        <f>SUM(AE11:AE14)</f>
        <v>9739815.2999999989</v>
      </c>
      <c r="AF10" s="44">
        <f>AE10-AB10</f>
        <v>480756.98000000045</v>
      </c>
      <c r="AG10" s="44">
        <f>SUM('[1]Движение ДС'!K32)</f>
        <v>-480756.98</v>
      </c>
      <c r="AH10" s="44">
        <f>SUM(AH11:AH14)</f>
        <v>9336041.3800000008</v>
      </c>
      <c r="AI10" s="57">
        <f>AH10-AE10</f>
        <v>-403773.91999999806</v>
      </c>
      <c r="AJ10" s="57">
        <f>'[2]Движение ДС'!L32</f>
        <v>403773.92000000016</v>
      </c>
      <c r="AK10" s="44">
        <f>SUM(AK11:AK14)</f>
        <v>9771581.9699999988</v>
      </c>
      <c r="AL10" s="111">
        <f>AK10-AH10</f>
        <v>435540.58999999799</v>
      </c>
      <c r="AM10" s="60">
        <f>SUM('[2]Движение ДС'!M32)</f>
        <v>-435540.58999999985</v>
      </c>
      <c r="AN10" s="116">
        <f>C10-AK10</f>
        <v>-2393564.2799999984</v>
      </c>
      <c r="AO10" s="120">
        <f>Сводный!$N$36</f>
        <v>-2446240.3200000003</v>
      </c>
      <c r="AQ10" s="111"/>
    </row>
    <row r="11" spans="1:43" x14ac:dyDescent="0.15">
      <c r="A11" s="4" t="s">
        <v>11</v>
      </c>
      <c r="B11" s="42"/>
      <c r="C11" s="10"/>
      <c r="D11" s="109">
        <v>738905.01</v>
      </c>
      <c r="E11" s="109"/>
      <c r="F11" s="109"/>
      <c r="G11" s="109">
        <v>807014.51</v>
      </c>
      <c r="H11" s="109"/>
      <c r="I11" s="109"/>
      <c r="J11" s="109">
        <v>778449.68</v>
      </c>
      <c r="K11" s="109"/>
      <c r="L11" s="109"/>
      <c r="M11" s="21">
        <v>878393.93</v>
      </c>
      <c r="N11" s="21"/>
      <c r="O11" s="21"/>
      <c r="P11" s="21">
        <v>951749.19</v>
      </c>
      <c r="Q11" s="21"/>
      <c r="R11" s="21"/>
      <c r="S11" s="45">
        <v>1170785.78</v>
      </c>
      <c r="T11" s="45"/>
      <c r="U11" s="45"/>
      <c r="V11" s="46">
        <v>1223671.1299999999</v>
      </c>
      <c r="W11" s="44"/>
      <c r="X11" s="44"/>
      <c r="Y11" s="45">
        <v>1258257.01</v>
      </c>
      <c r="Z11" s="45"/>
      <c r="AA11" s="45"/>
      <c r="AB11" s="45">
        <v>1428336.39</v>
      </c>
      <c r="AC11" s="45"/>
      <c r="AD11" s="45"/>
      <c r="AE11" s="45">
        <v>1382540.32</v>
      </c>
      <c r="AF11" s="45"/>
      <c r="AG11" s="45"/>
      <c r="AH11" s="45">
        <v>972361.93</v>
      </c>
      <c r="AI11" s="45"/>
      <c r="AJ11" s="45"/>
      <c r="AK11" s="45">
        <v>1152140.69</v>
      </c>
      <c r="AN11" s="115"/>
      <c r="AO11" s="115"/>
    </row>
    <row r="12" spans="1:43" x14ac:dyDescent="0.15">
      <c r="A12" s="4" t="s">
        <v>117</v>
      </c>
      <c r="B12" s="42"/>
      <c r="C12" s="10"/>
      <c r="D12" s="109">
        <v>6767117.5800000001</v>
      </c>
      <c r="E12" s="109"/>
      <c r="F12" s="109"/>
      <c r="G12" s="109">
        <v>6955553.1299999999</v>
      </c>
      <c r="H12" s="109"/>
      <c r="I12" s="109"/>
      <c r="J12" s="109">
        <v>7138318.7800000003</v>
      </c>
      <c r="K12" s="109"/>
      <c r="L12" s="109"/>
      <c r="M12" s="21">
        <v>7343676.0599999996</v>
      </c>
      <c r="N12" s="21"/>
      <c r="O12" s="21"/>
      <c r="P12" s="21">
        <v>7563210.21</v>
      </c>
      <c r="Q12" s="21"/>
      <c r="R12" s="21"/>
      <c r="S12" s="45">
        <v>7507153.4500000002</v>
      </c>
      <c r="T12" s="45"/>
      <c r="U12" s="45"/>
      <c r="V12" s="46">
        <v>7444407.6100000003</v>
      </c>
      <c r="W12" s="45"/>
      <c r="X12" s="45"/>
      <c r="Y12" s="45">
        <v>7663721.79</v>
      </c>
      <c r="Z12" s="45"/>
      <c r="AA12" s="45"/>
      <c r="AB12" s="45">
        <v>7773856.96</v>
      </c>
      <c r="AC12" s="45"/>
      <c r="AD12" s="45"/>
      <c r="AE12" s="45">
        <v>8282022.6299999999</v>
      </c>
      <c r="AF12" s="45"/>
      <c r="AG12" s="45"/>
      <c r="AH12" s="45">
        <v>8281397.5199999996</v>
      </c>
      <c r="AI12" s="45"/>
      <c r="AJ12" s="45"/>
      <c r="AK12" s="45">
        <v>8483249.3599999994</v>
      </c>
      <c r="AN12" s="115"/>
      <c r="AO12" s="115"/>
    </row>
    <row r="13" spans="1:43" x14ac:dyDescent="0.15">
      <c r="A13" s="4" t="s">
        <v>2</v>
      </c>
      <c r="B13" s="42"/>
      <c r="C13" s="10"/>
      <c r="D13" s="109">
        <v>51014.12</v>
      </c>
      <c r="E13" s="109"/>
      <c r="F13" s="109"/>
      <c r="G13" s="109">
        <v>74454.84</v>
      </c>
      <c r="H13" s="109"/>
      <c r="I13" s="109"/>
      <c r="J13" s="109">
        <v>56446.1</v>
      </c>
      <c r="K13" s="109"/>
      <c r="L13" s="109"/>
      <c r="M13" s="21">
        <v>75110.600000000006</v>
      </c>
      <c r="N13" s="21"/>
      <c r="O13" s="21"/>
      <c r="P13" s="21">
        <v>76794.559999999998</v>
      </c>
      <c r="Q13" s="21"/>
      <c r="R13" s="21"/>
      <c r="S13" s="58">
        <v>97023.08</v>
      </c>
      <c r="T13" s="45"/>
      <c r="U13" s="45"/>
      <c r="V13" s="65">
        <v>88892.88</v>
      </c>
      <c r="W13" s="45"/>
      <c r="X13" s="45"/>
      <c r="Y13" s="45">
        <v>117712.08</v>
      </c>
      <c r="Z13" s="45"/>
      <c r="AA13" s="45"/>
      <c r="AB13" s="45">
        <v>128776.35</v>
      </c>
      <c r="AC13" s="45"/>
      <c r="AD13" s="45"/>
      <c r="AE13" s="45">
        <v>126850.99</v>
      </c>
      <c r="AF13" s="45"/>
      <c r="AG13" s="45"/>
      <c r="AH13" s="45">
        <v>139475.71</v>
      </c>
      <c r="AI13" s="45"/>
      <c r="AJ13" s="45"/>
      <c r="AK13" s="45">
        <v>174579.1</v>
      </c>
      <c r="AN13" s="115"/>
      <c r="AO13" s="115"/>
    </row>
    <row r="14" spans="1:43" s="16" customFormat="1" x14ac:dyDescent="0.15">
      <c r="A14" s="6" t="s">
        <v>99</v>
      </c>
      <c r="B14" s="42">
        <v>1690</v>
      </c>
      <c r="C14" s="47">
        <v>-244200</v>
      </c>
      <c r="D14" s="110">
        <v>-208687.94</v>
      </c>
      <c r="E14" s="110"/>
      <c r="F14" s="110"/>
      <c r="G14" s="110">
        <v>-208142.88</v>
      </c>
      <c r="H14" s="71"/>
      <c r="I14" s="71"/>
      <c r="J14" s="110">
        <v>-213942.65</v>
      </c>
      <c r="K14" s="71"/>
      <c r="L14" s="71"/>
      <c r="M14" s="47">
        <v>-188452.92</v>
      </c>
      <c r="N14" s="47"/>
      <c r="O14" s="47"/>
      <c r="P14" s="47">
        <v>-154010.37</v>
      </c>
      <c r="Q14" s="47"/>
      <c r="R14" s="47"/>
      <c r="S14" s="47">
        <v>-107688.03</v>
      </c>
      <c r="T14" s="47"/>
      <c r="U14" s="47"/>
      <c r="V14" s="47">
        <v>-149592.82999999999</v>
      </c>
      <c r="W14" s="47"/>
      <c r="X14" s="47"/>
      <c r="Y14" s="47">
        <v>-65721.850000000006</v>
      </c>
      <c r="Z14" s="47"/>
      <c r="AA14" s="47"/>
      <c r="AB14" s="47">
        <v>-71911.38</v>
      </c>
      <c r="AC14" s="47"/>
      <c r="AD14" s="47"/>
      <c r="AE14" s="47">
        <v>-51598.64</v>
      </c>
      <c r="AF14" s="47"/>
      <c r="AG14" s="47"/>
      <c r="AH14" s="47">
        <v>-57193.78</v>
      </c>
      <c r="AI14" s="47"/>
      <c r="AJ14" s="47"/>
      <c r="AK14" s="47">
        <v>-38387.18</v>
      </c>
      <c r="AN14" s="118"/>
      <c r="AO14" s="118"/>
    </row>
    <row r="15" spans="1:43" s="15" customFormat="1" x14ac:dyDescent="0.15">
      <c r="A15" s="13" t="s">
        <v>3</v>
      </c>
      <c r="B15" s="40"/>
      <c r="C15" s="14"/>
      <c r="D15" s="66"/>
      <c r="E15" s="66"/>
      <c r="F15" s="66"/>
      <c r="G15" s="66"/>
      <c r="H15" s="66"/>
      <c r="I15" s="66"/>
      <c r="J15" s="66"/>
      <c r="K15" s="66"/>
      <c r="L15" s="66"/>
      <c r="M15" s="20"/>
      <c r="N15" s="20"/>
      <c r="O15" s="20"/>
      <c r="P15" s="20"/>
      <c r="Q15" s="20"/>
      <c r="R15" s="20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N15" s="117"/>
      <c r="AO15" s="117"/>
    </row>
    <row r="16" spans="1:43" s="15" customFormat="1" x14ac:dyDescent="0.15">
      <c r="A16" s="13" t="s">
        <v>81</v>
      </c>
      <c r="B16" s="40">
        <v>1199</v>
      </c>
      <c r="C16" s="14">
        <v>7500</v>
      </c>
      <c r="D16" s="14"/>
      <c r="E16" s="14"/>
      <c r="F16" s="14"/>
      <c r="G16" s="14"/>
      <c r="H16" s="14"/>
      <c r="I16" s="14"/>
      <c r="J16" s="14"/>
      <c r="K16" s="14"/>
      <c r="L16" s="14"/>
      <c r="M16" s="20"/>
      <c r="N16" s="20"/>
      <c r="O16" s="20"/>
      <c r="P16" s="20"/>
      <c r="Q16" s="20"/>
      <c r="R16" s="20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N16" s="117"/>
      <c r="AO16" s="117"/>
    </row>
    <row r="17" spans="1:41" s="15" customFormat="1" x14ac:dyDescent="0.15">
      <c r="A17" s="13"/>
      <c r="B17" s="4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20"/>
      <c r="N17" s="20"/>
      <c r="O17" s="20"/>
      <c r="P17" s="20"/>
      <c r="Q17" s="20"/>
      <c r="R17" s="20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N17" s="117"/>
      <c r="AO17" s="117"/>
    </row>
    <row r="18" spans="1:41" s="15" customFormat="1" x14ac:dyDescent="0.15">
      <c r="A18" s="37" t="s">
        <v>82</v>
      </c>
      <c r="B18" s="40"/>
      <c r="C18" s="14">
        <f>C5+C10+C16</f>
        <v>7426061.4900000002</v>
      </c>
      <c r="D18" s="14">
        <f>D5+D10+D16</f>
        <v>7457837.8399999999</v>
      </c>
      <c r="E18" s="14"/>
      <c r="F18" s="14"/>
      <c r="G18" s="14">
        <f>G5+G10+G16</f>
        <v>7721572.9199999999</v>
      </c>
      <c r="H18" s="14">
        <f>G18-D18</f>
        <v>263735.08000000007</v>
      </c>
      <c r="I18" s="14">
        <f>'[1]Движение ДС'!C38</f>
        <v>263735.08000000007</v>
      </c>
      <c r="J18" s="14">
        <f>J5+J10+J16</f>
        <v>7851930.3499999996</v>
      </c>
      <c r="K18" s="14">
        <f>J18-G18</f>
        <v>130357.4299999997</v>
      </c>
      <c r="L18" s="14">
        <f>'[1]Движение ДС'!D38</f>
        <v>130357.43000000017</v>
      </c>
      <c r="M18" s="14">
        <f>M5+M10+M16</f>
        <v>8140768.8899999987</v>
      </c>
      <c r="N18" s="14">
        <f>M18-J18</f>
        <v>288838.53999999911</v>
      </c>
      <c r="O18" s="14">
        <f>'[1]Движение ДС'!E38</f>
        <v>288838.53000000003</v>
      </c>
      <c r="P18" s="14">
        <f>P5+P10+P16</f>
        <v>8560841.4600000009</v>
      </c>
      <c r="Q18" s="44">
        <f>P18-M18</f>
        <v>420072.57000000216</v>
      </c>
      <c r="R18" s="66">
        <f>'[1]Движение ДС'!$F$38</f>
        <v>440986.57999999996</v>
      </c>
      <c r="S18" s="44">
        <f>S5+S10+S16</f>
        <v>8832499.370000001</v>
      </c>
      <c r="T18" s="44">
        <f>S18-P18</f>
        <v>271657.91000000015</v>
      </c>
      <c r="U18" s="44">
        <f>'[1]Движение ДС'!$G$38</f>
        <v>271657.91000000003</v>
      </c>
      <c r="V18" s="44">
        <f>V5+V10+V16</f>
        <v>9200201.4900000002</v>
      </c>
      <c r="W18" s="57">
        <f>V18-S18</f>
        <v>367702.11999999918</v>
      </c>
      <c r="X18" s="57">
        <f>'[1]Движение ДС'!$H$38</f>
        <v>367702.12000000011</v>
      </c>
      <c r="Y18" s="44">
        <f>Y5+Y10+Y16</f>
        <v>9709976.370000001</v>
      </c>
      <c r="Z18" s="57">
        <f>Y18-V18</f>
        <v>509774.88000000082</v>
      </c>
      <c r="AA18" s="57">
        <f>'[1]Движение ДС'!$I$38</f>
        <v>509774.87999999989</v>
      </c>
      <c r="AB18" s="44">
        <f>AB5+AB10+AB16</f>
        <v>9951187.629999999</v>
      </c>
      <c r="AC18" s="44">
        <f>AB18-Y18</f>
        <v>241211.25999999791</v>
      </c>
      <c r="AD18" s="44">
        <f>'[1]Движение ДС'!J38</f>
        <v>241211.26000000013</v>
      </c>
      <c r="AE18" s="44">
        <f>AE5+AE10+AE16</f>
        <v>10371148.549999999</v>
      </c>
      <c r="AF18" s="44">
        <f>AE18-AB18</f>
        <v>419960.91999999993</v>
      </c>
      <c r="AG18" s="44">
        <f>SUM('[1]Движение ДС'!K38)</f>
        <v>419960.91999999993</v>
      </c>
      <c r="AH18" s="44">
        <f>AH5+AH10+AH16</f>
        <v>10351533.33</v>
      </c>
      <c r="AI18" s="44">
        <f>AH18-AE18</f>
        <v>-19615.219999998808</v>
      </c>
      <c r="AJ18" s="44">
        <f>'[2]Движение ДС'!L38</f>
        <v>-19615.219999999972</v>
      </c>
      <c r="AK18" s="44">
        <f>AK5+AK10+AK16</f>
        <v>10334586.849999998</v>
      </c>
      <c r="AL18" s="111">
        <f>AK18-AH18</f>
        <v>-16946.48000000231</v>
      </c>
      <c r="AM18" s="60">
        <f>SUM('[2]Движение ДС'!M38)</f>
        <v>-16946.480000000214</v>
      </c>
      <c r="AN18" s="116">
        <f>AK18-C18</f>
        <v>2908525.3599999975</v>
      </c>
      <c r="AO18" s="117"/>
    </row>
    <row r="19" spans="1:41" s="15" customFormat="1" x14ac:dyDescent="0.15">
      <c r="A19" s="13"/>
      <c r="B19" s="4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20"/>
      <c r="N19" s="20"/>
      <c r="O19" s="20"/>
      <c r="P19" s="20"/>
      <c r="Q19" s="20"/>
      <c r="R19" s="20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N19" s="117"/>
      <c r="AO19" s="117"/>
    </row>
    <row r="20" spans="1:41" s="15" customFormat="1" x14ac:dyDescent="0.15">
      <c r="A20" s="38" t="s">
        <v>84</v>
      </c>
      <c r="B20" s="40">
        <v>1095</v>
      </c>
      <c r="C20" s="14">
        <v>984100</v>
      </c>
      <c r="D20" s="14"/>
      <c r="E20" s="14"/>
      <c r="F20" s="14"/>
      <c r="G20" s="14"/>
      <c r="H20" s="14"/>
      <c r="I20" s="14"/>
      <c r="J20" s="14"/>
      <c r="K20" s="14"/>
      <c r="L20" s="14"/>
      <c r="M20" s="20"/>
      <c r="N20" s="20"/>
      <c r="O20" s="20"/>
      <c r="P20" s="20"/>
      <c r="Q20" s="20"/>
      <c r="R20" s="20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N20" s="117"/>
      <c r="AO20" s="117"/>
    </row>
    <row r="21" spans="1:41" s="15" customFormat="1" x14ac:dyDescent="0.15">
      <c r="A21" s="13"/>
      <c r="B21" s="4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20"/>
      <c r="N21" s="20"/>
      <c r="O21" s="20"/>
      <c r="P21" s="20"/>
      <c r="Q21" s="20"/>
      <c r="R21" s="20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N21" s="117"/>
      <c r="AO21" s="117"/>
    </row>
    <row r="22" spans="1:41" s="15" customFormat="1" x14ac:dyDescent="0.15">
      <c r="A22" s="18" t="s">
        <v>8</v>
      </c>
      <c r="B22" s="40"/>
      <c r="C22" s="22">
        <f>C18+C20</f>
        <v>8410161.4900000002</v>
      </c>
      <c r="D22" s="22">
        <f>D18+D20</f>
        <v>7457837.8399999999</v>
      </c>
      <c r="E22" s="22"/>
      <c r="F22" s="22"/>
      <c r="G22" s="22">
        <f>G18+G20</f>
        <v>7721572.9199999999</v>
      </c>
      <c r="H22" s="22"/>
      <c r="I22" s="22"/>
      <c r="J22" s="22">
        <f>J18+J20</f>
        <v>7851930.3499999996</v>
      </c>
      <c r="K22" s="22"/>
      <c r="L22" s="22"/>
      <c r="M22" s="22">
        <f>M18+M20</f>
        <v>8140768.8899999987</v>
      </c>
      <c r="N22" s="22"/>
      <c r="O22" s="22"/>
      <c r="P22" s="22">
        <f>P18+P20</f>
        <v>8560841.4600000009</v>
      </c>
      <c r="Q22" s="22"/>
      <c r="R22" s="22"/>
      <c r="S22" s="22">
        <f>S18+S20</f>
        <v>8832499.370000001</v>
      </c>
      <c r="T22" s="22"/>
      <c r="U22" s="22"/>
      <c r="V22" s="22">
        <f>V18+V20</f>
        <v>9200201.4900000002</v>
      </c>
      <c r="W22" s="22"/>
      <c r="X22" s="22"/>
      <c r="Y22" s="22">
        <f>Y18+Y20</f>
        <v>9709976.370000001</v>
      </c>
      <c r="Z22" s="22"/>
      <c r="AA22" s="22"/>
      <c r="AB22" s="22">
        <f>AB18+AB20</f>
        <v>9951187.629999999</v>
      </c>
      <c r="AC22" s="22"/>
      <c r="AD22" s="22"/>
      <c r="AE22" s="22">
        <f>AE18+AE20</f>
        <v>10371148.549999999</v>
      </c>
      <c r="AF22" s="22"/>
      <c r="AG22" s="22"/>
      <c r="AH22" s="22">
        <f>AH18+AH20</f>
        <v>10351533.33</v>
      </c>
      <c r="AI22" s="22"/>
      <c r="AJ22" s="22"/>
      <c r="AK22" s="22">
        <f>AK18+AK20</f>
        <v>10334586.849999998</v>
      </c>
      <c r="AN22" s="117"/>
      <c r="AO22" s="117"/>
    </row>
    <row r="23" spans="1:41" x14ac:dyDescent="0.15">
      <c r="A23" s="4"/>
      <c r="B23" s="4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23"/>
      <c r="N23" s="23"/>
      <c r="O23" s="23"/>
      <c r="P23" s="23"/>
      <c r="Q23" s="23"/>
      <c r="R23" s="23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N23" s="115"/>
      <c r="AO23" s="115"/>
    </row>
    <row r="24" spans="1:41" x14ac:dyDescent="0.15">
      <c r="A24" s="3" t="s">
        <v>0</v>
      </c>
      <c r="B24" s="40"/>
      <c r="C24" s="9"/>
      <c r="D24" s="9"/>
      <c r="E24" s="9"/>
      <c r="F24" s="9"/>
      <c r="G24" s="9"/>
      <c r="H24" s="9"/>
      <c r="I24" s="9"/>
      <c r="J24" s="9"/>
      <c r="K24" s="9"/>
      <c r="L24" s="9"/>
      <c r="M24" s="19"/>
      <c r="N24" s="19"/>
      <c r="O24" s="19"/>
      <c r="P24" s="19"/>
      <c r="Q24" s="19"/>
      <c r="R24" s="19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N24" s="115"/>
      <c r="AO24" s="115"/>
    </row>
    <row r="25" spans="1:41" x14ac:dyDescent="0.15">
      <c r="A25" s="3" t="s">
        <v>80</v>
      </c>
      <c r="B25" s="40"/>
      <c r="C25" s="9">
        <f>SUM(C26:C29)</f>
        <v>1401400</v>
      </c>
      <c r="D25" s="9">
        <f>SUM(D26:D29)</f>
        <v>451623.92</v>
      </c>
      <c r="E25" s="9"/>
      <c r="F25" s="9"/>
      <c r="G25" s="9">
        <f>SUM(G26:G29)</f>
        <v>454641.23</v>
      </c>
      <c r="H25" s="9"/>
      <c r="I25" s="9"/>
      <c r="J25" s="9">
        <f>SUM(J26:J29)</f>
        <v>448506.25</v>
      </c>
      <c r="K25" s="9"/>
      <c r="L25" s="9"/>
      <c r="M25" s="9">
        <f>SUM(M26:M29)</f>
        <v>451963.16</v>
      </c>
      <c r="N25" s="9"/>
      <c r="O25" s="9"/>
      <c r="P25" s="9">
        <f>SUM(P26:P29)</f>
        <v>588760.04</v>
      </c>
      <c r="Q25" s="9"/>
      <c r="R25" s="9"/>
      <c r="S25" s="9">
        <f>SUM(S26:S29)</f>
        <v>631147.33000000007</v>
      </c>
      <c r="T25" s="9"/>
      <c r="U25" s="9"/>
      <c r="V25" s="9">
        <f>SUM(V26:V29)</f>
        <v>573474.04</v>
      </c>
      <c r="W25" s="9"/>
      <c r="X25" s="9"/>
      <c r="Y25" s="9">
        <f>SUM(Y26:Y29)</f>
        <v>705796.12</v>
      </c>
      <c r="Z25" s="9"/>
      <c r="AA25" s="9"/>
      <c r="AB25" s="9">
        <f>SUM(AB26:AB29)</f>
        <v>688462.21</v>
      </c>
      <c r="AC25" s="9"/>
      <c r="AD25" s="9"/>
      <c r="AE25" s="9">
        <v>680297.42</v>
      </c>
      <c r="AF25" s="9"/>
      <c r="AG25" s="9"/>
      <c r="AH25" s="9">
        <f>SUM(AH26:AH29)</f>
        <v>1138561.04</v>
      </c>
      <c r="AI25" s="9"/>
      <c r="AJ25" s="9"/>
      <c r="AK25" s="9">
        <f>SUM(AK26:AK29)</f>
        <v>0</v>
      </c>
      <c r="AN25" s="115"/>
      <c r="AO25" s="115"/>
    </row>
    <row r="26" spans="1:41" s="16" customFormat="1" x14ac:dyDescent="0.15">
      <c r="A26" s="6" t="s">
        <v>7</v>
      </c>
      <c r="B26" s="42">
        <v>1615</v>
      </c>
      <c r="C26" s="11">
        <v>416100</v>
      </c>
      <c r="D26" s="11">
        <v>451623.92</v>
      </c>
      <c r="E26" s="11"/>
      <c r="F26" s="11"/>
      <c r="G26" s="11">
        <v>454641.23</v>
      </c>
      <c r="H26" s="11"/>
      <c r="I26" s="11"/>
      <c r="J26" s="11">
        <v>448506.25</v>
      </c>
      <c r="K26" s="11"/>
      <c r="L26" s="11"/>
      <c r="M26" s="24">
        <v>451963.16</v>
      </c>
      <c r="N26" s="24"/>
      <c r="O26" s="24"/>
      <c r="P26" s="24">
        <v>408760.04</v>
      </c>
      <c r="Q26" s="24"/>
      <c r="R26" s="24"/>
      <c r="S26" s="47">
        <v>451147.33</v>
      </c>
      <c r="T26" s="47"/>
      <c r="U26" s="47"/>
      <c r="V26" s="47">
        <v>393474.04</v>
      </c>
      <c r="W26" s="47"/>
      <c r="X26" s="47"/>
      <c r="Y26" s="47">
        <v>605796.12</v>
      </c>
      <c r="Z26" s="47"/>
      <c r="AA26" s="47"/>
      <c r="AB26" s="47">
        <v>588462.21</v>
      </c>
      <c r="AC26" s="47"/>
      <c r="AD26" s="47"/>
      <c r="AE26" s="47"/>
      <c r="AF26" s="47"/>
      <c r="AG26" s="47"/>
      <c r="AH26" s="47">
        <v>1138561.04</v>
      </c>
      <c r="AI26" s="47"/>
      <c r="AJ26" s="47"/>
      <c r="AK26" s="47"/>
      <c r="AN26" s="118"/>
      <c r="AO26" s="118"/>
    </row>
    <row r="27" spans="1:41" s="16" customFormat="1" x14ac:dyDescent="0.15">
      <c r="A27" s="6" t="s">
        <v>79</v>
      </c>
      <c r="B27" s="42">
        <v>1620</v>
      </c>
      <c r="C27" s="11">
        <v>1200</v>
      </c>
      <c r="D27" s="11"/>
      <c r="E27" s="11"/>
      <c r="F27" s="11"/>
      <c r="G27" s="11"/>
      <c r="H27" s="11"/>
      <c r="I27" s="11"/>
      <c r="J27" s="11"/>
      <c r="K27" s="11"/>
      <c r="L27" s="11"/>
      <c r="M27" s="24"/>
      <c r="N27" s="24"/>
      <c r="O27" s="24"/>
      <c r="P27" s="24"/>
      <c r="Q27" s="24"/>
      <c r="R27" s="24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N27" s="118"/>
      <c r="AO27" s="118"/>
    </row>
    <row r="28" spans="1:41" s="113" customFormat="1" x14ac:dyDescent="0.15">
      <c r="A28" s="6" t="s">
        <v>111</v>
      </c>
      <c r="B28" s="4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24"/>
      <c r="N28" s="24"/>
      <c r="O28" s="24"/>
      <c r="P28" s="24">
        <v>180000</v>
      </c>
      <c r="Q28" s="24"/>
      <c r="R28" s="24"/>
      <c r="S28" s="47">
        <v>180000</v>
      </c>
      <c r="T28" s="47"/>
      <c r="U28" s="47"/>
      <c r="V28" s="47">
        <v>180000</v>
      </c>
      <c r="W28" s="47"/>
      <c r="X28" s="47"/>
      <c r="Y28" s="47">
        <v>100000</v>
      </c>
      <c r="Z28" s="47"/>
      <c r="AA28" s="47"/>
      <c r="AB28" s="47">
        <v>100000</v>
      </c>
      <c r="AC28" s="47"/>
      <c r="AD28" s="47"/>
      <c r="AE28" s="47">
        <v>40000</v>
      </c>
      <c r="AF28" s="47"/>
      <c r="AG28" s="47"/>
      <c r="AH28" s="47"/>
      <c r="AI28" s="47"/>
      <c r="AJ28" s="47"/>
      <c r="AK28" s="47"/>
      <c r="AN28" s="119"/>
      <c r="AO28" s="119"/>
    </row>
    <row r="29" spans="1:41" s="16" customFormat="1" x14ac:dyDescent="0.15">
      <c r="A29" s="6" t="s">
        <v>118</v>
      </c>
      <c r="B29" s="42">
        <v>1665</v>
      </c>
      <c r="C29" s="11">
        <v>984100</v>
      </c>
      <c r="D29" s="11"/>
      <c r="E29" s="11"/>
      <c r="F29" s="11"/>
      <c r="G29" s="11"/>
      <c r="H29" s="11"/>
      <c r="I29" s="11"/>
      <c r="J29" s="11"/>
      <c r="K29" s="11"/>
      <c r="L29" s="11"/>
      <c r="M29" s="24"/>
      <c r="N29" s="24"/>
      <c r="O29" s="24"/>
      <c r="P29" s="24"/>
      <c r="Q29" s="24"/>
      <c r="R29" s="24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N29" s="118"/>
      <c r="AO29" s="118"/>
    </row>
    <row r="30" spans="1:41" s="16" customFormat="1" x14ac:dyDescent="0.15">
      <c r="A30" s="6" t="s">
        <v>10</v>
      </c>
      <c r="B30" s="4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24"/>
      <c r="N30" s="24"/>
      <c r="O30" s="24"/>
      <c r="P30" s="24"/>
      <c r="Q30" s="24"/>
      <c r="R30" s="24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N30" s="118"/>
      <c r="AO30" s="118"/>
    </row>
    <row r="31" spans="1:41" x14ac:dyDescent="0.15">
      <c r="A31" s="3" t="s">
        <v>5</v>
      </c>
      <c r="B31" s="40"/>
      <c r="C31" s="9"/>
      <c r="D31" s="9"/>
      <c r="E31" s="9"/>
      <c r="F31" s="9"/>
      <c r="G31" s="9"/>
      <c r="H31" s="9"/>
      <c r="I31" s="9"/>
      <c r="J31" s="9"/>
      <c r="K31" s="9"/>
      <c r="L31" s="9"/>
      <c r="M31" s="19"/>
      <c r="N31" s="19"/>
      <c r="O31" s="19"/>
      <c r="P31" s="19"/>
      <c r="Q31" s="19"/>
      <c r="R31" s="19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N31" s="115"/>
      <c r="AO31" s="115"/>
    </row>
    <row r="32" spans="1:41" x14ac:dyDescent="0.15">
      <c r="A32" s="7"/>
      <c r="B32" s="42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21"/>
      <c r="N32" s="21"/>
      <c r="O32" s="21"/>
      <c r="P32" s="21"/>
      <c r="Q32" s="21"/>
      <c r="R32" s="21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N32" s="115"/>
      <c r="AO32" s="115"/>
    </row>
    <row r="33" spans="1:41" x14ac:dyDescent="0.15">
      <c r="A33" s="6"/>
      <c r="B33" s="4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21"/>
      <c r="N33" s="21"/>
      <c r="O33" s="21"/>
      <c r="P33" s="21"/>
      <c r="Q33" s="21"/>
      <c r="R33" s="21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N33" s="115"/>
      <c r="AO33" s="115"/>
    </row>
    <row r="34" spans="1:41" s="15" customFormat="1" x14ac:dyDescent="0.15">
      <c r="A34" s="17" t="s">
        <v>9</v>
      </c>
      <c r="B34" s="40"/>
      <c r="C34" s="22">
        <f>SUM(C25)</f>
        <v>1401400</v>
      </c>
      <c r="D34" s="22">
        <f>SUM(D25)</f>
        <v>451623.92</v>
      </c>
      <c r="E34" s="22"/>
      <c r="F34" s="22"/>
      <c r="G34" s="22">
        <f>SUM(G25)</f>
        <v>454641.23</v>
      </c>
      <c r="H34" s="22"/>
      <c r="I34" s="22"/>
      <c r="J34" s="22">
        <f>SUM(J25)</f>
        <v>448506.25</v>
      </c>
      <c r="K34" s="22"/>
      <c r="L34" s="22"/>
      <c r="M34" s="22">
        <f>SUM(M25)</f>
        <v>451963.16</v>
      </c>
      <c r="N34" s="22"/>
      <c r="O34" s="22"/>
      <c r="P34" s="22">
        <f>SUM(P25)</f>
        <v>588760.04</v>
      </c>
      <c r="Q34" s="22"/>
      <c r="R34" s="22"/>
      <c r="S34" s="22">
        <f>SUM(S25)</f>
        <v>631147.33000000007</v>
      </c>
      <c r="T34" s="22"/>
      <c r="U34" s="22"/>
      <c r="V34" s="22">
        <f>SUM(V25)</f>
        <v>573474.04</v>
      </c>
      <c r="W34" s="22"/>
      <c r="X34" s="22"/>
      <c r="Y34" s="22">
        <f>SUM(Y25)</f>
        <v>705796.12</v>
      </c>
      <c r="Z34" s="22"/>
      <c r="AA34" s="22"/>
      <c r="AB34" s="22">
        <f>SUM(AB25)</f>
        <v>688462.21</v>
      </c>
      <c r="AC34" s="22"/>
      <c r="AD34" s="22"/>
      <c r="AE34" s="22">
        <f>SUM(AE25)</f>
        <v>680297.42</v>
      </c>
      <c r="AF34" s="22"/>
      <c r="AG34" s="22"/>
      <c r="AH34" s="22">
        <f>SUM(AH25)</f>
        <v>1138561.04</v>
      </c>
      <c r="AI34" s="22"/>
      <c r="AJ34" s="22"/>
      <c r="AK34" s="22">
        <f>SUM(AK25)</f>
        <v>0</v>
      </c>
      <c r="AN34" s="117"/>
      <c r="AO34" s="117"/>
    </row>
    <row r="35" spans="1:41" x14ac:dyDescent="0.15">
      <c r="A35" s="4"/>
      <c r="B35" s="4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21"/>
      <c r="N35" s="21"/>
      <c r="O35" s="21"/>
      <c r="P35" s="21"/>
      <c r="Q35" s="21"/>
      <c r="R35" s="21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N35" s="115"/>
      <c r="AO35" s="115"/>
    </row>
    <row r="36" spans="1:41" x14ac:dyDescent="0.15">
      <c r="A36" s="17" t="s">
        <v>24</v>
      </c>
      <c r="B36" s="40" t="s">
        <v>86</v>
      </c>
      <c r="C36" s="19">
        <f>C22-C34</f>
        <v>7008761.4900000002</v>
      </c>
      <c r="D36" s="19">
        <f>D22-D34</f>
        <v>7006213.9199999999</v>
      </c>
      <c r="E36" s="19"/>
      <c r="F36" s="19"/>
      <c r="G36" s="19">
        <f>G22-G34</f>
        <v>7266931.6899999995</v>
      </c>
      <c r="H36" s="19"/>
      <c r="I36" s="19"/>
      <c r="J36" s="19">
        <f>J22-J34</f>
        <v>7403424.0999999996</v>
      </c>
      <c r="K36" s="19"/>
      <c r="L36" s="19"/>
      <c r="M36" s="19">
        <f>M22-M34</f>
        <v>7688805.7299999986</v>
      </c>
      <c r="N36" s="19"/>
      <c r="O36" s="19"/>
      <c r="P36" s="19">
        <f>P22-P34</f>
        <v>7972081.4200000009</v>
      </c>
      <c r="Q36" s="19"/>
      <c r="R36" s="19"/>
      <c r="S36" s="19">
        <f>S22-S34</f>
        <v>8201352.040000001</v>
      </c>
      <c r="T36" s="19"/>
      <c r="U36" s="19"/>
      <c r="V36" s="19">
        <f>V22-V34</f>
        <v>8626727.4499999993</v>
      </c>
      <c r="W36" s="19"/>
      <c r="X36" s="19"/>
      <c r="Y36" s="19">
        <f>Y22-Y34</f>
        <v>9004180.2500000019</v>
      </c>
      <c r="Z36" s="19"/>
      <c r="AA36" s="19"/>
      <c r="AB36" s="19">
        <f>AB22-AB34</f>
        <v>9262725.4199999981</v>
      </c>
      <c r="AC36" s="19"/>
      <c r="AD36" s="19"/>
      <c r="AE36" s="19">
        <f>AE22-AE34</f>
        <v>9690851.129999999</v>
      </c>
      <c r="AF36" s="19"/>
      <c r="AG36" s="19"/>
      <c r="AH36" s="19">
        <f>AH22-AH34</f>
        <v>9212972.2899999991</v>
      </c>
      <c r="AI36" s="19"/>
      <c r="AJ36" s="19"/>
      <c r="AK36" s="19">
        <f>AK22-AK34</f>
        <v>10334586.849999998</v>
      </c>
      <c r="AN36" s="115"/>
      <c r="AO36" s="115"/>
    </row>
    <row r="37" spans="1:41" x14ac:dyDescent="0.15">
      <c r="A37" s="4"/>
      <c r="B37" s="42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44" spans="1:41" x14ac:dyDescent="0.15">
      <c r="A44" t="s">
        <v>6</v>
      </c>
    </row>
  </sheetData>
  <mergeCells count="2">
    <mergeCell ref="Q2:R2"/>
    <mergeCell ref="T2:U2"/>
  </mergeCells>
  <phoneticPr fontId="0" type="noConversion"/>
  <pageMargins left="0.11811023622047245" right="0.11811023622047245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6"/>
  <sheetViews>
    <sheetView topLeftCell="G1" zoomScale="90" zoomScaleNormal="90" zoomScaleSheetLayoutView="100" workbookViewId="0">
      <selection activeCell="E28" sqref="E28"/>
    </sheetView>
  </sheetViews>
  <sheetFormatPr defaultColWidth="8.8984375" defaultRowHeight="12.75" x14ac:dyDescent="0.15"/>
  <cols>
    <col min="1" max="1" width="63.6484375" style="36" customWidth="1"/>
    <col min="2" max="2" width="14.29296875" style="36" customWidth="1"/>
    <col min="3" max="3" width="14.96875" style="36" customWidth="1"/>
    <col min="4" max="4" width="14.15625" style="36" customWidth="1"/>
    <col min="5" max="5" width="13.078125" style="36" customWidth="1"/>
    <col min="6" max="6" width="14.42578125" style="62" customWidth="1"/>
    <col min="7" max="7" width="12.67578125" style="62" customWidth="1"/>
    <col min="8" max="9" width="13.34765625" style="62" customWidth="1"/>
    <col min="10" max="10" width="12.67578125" style="62" customWidth="1"/>
    <col min="11" max="11" width="13.6171875" style="62" customWidth="1"/>
    <col min="12" max="12" width="13.484375" style="62" customWidth="1"/>
    <col min="13" max="13" width="12.67578125" style="62" customWidth="1"/>
    <col min="14" max="14" width="15.1015625" style="62" customWidth="1"/>
    <col min="15" max="15" width="13.88671875" style="67" customWidth="1"/>
    <col min="16" max="16" width="15.23828125" style="36" customWidth="1"/>
    <col min="17" max="17" width="11.19140625" style="36" customWidth="1"/>
    <col min="18" max="16384" width="8.8984375" style="36"/>
  </cols>
  <sheetData>
    <row r="1" spans="1:21" x14ac:dyDescent="0.15">
      <c r="A1" t="s">
        <v>27</v>
      </c>
      <c r="B1"/>
      <c r="C1"/>
      <c r="D1"/>
      <c r="E1"/>
      <c r="F1" s="25"/>
      <c r="G1" s="25"/>
      <c r="H1" s="25"/>
      <c r="I1" s="25"/>
      <c r="J1" s="25"/>
      <c r="K1" s="25"/>
      <c r="L1" s="25"/>
      <c r="M1" s="25"/>
      <c r="N1" s="25"/>
      <c r="O1" s="49"/>
      <c r="P1"/>
      <c r="Q1"/>
    </row>
    <row r="2" spans="1:21" x14ac:dyDescent="0.15">
      <c r="A2"/>
      <c r="B2"/>
      <c r="C2"/>
      <c r="D2"/>
      <c r="E2"/>
      <c r="F2" s="25"/>
      <c r="G2" s="25"/>
      <c r="H2" s="25"/>
      <c r="I2" s="25"/>
      <c r="J2" s="25"/>
      <c r="K2" s="25"/>
      <c r="L2" s="25"/>
      <c r="M2" s="25"/>
      <c r="N2" s="25"/>
      <c r="O2" s="49"/>
      <c r="P2"/>
      <c r="Q2"/>
    </row>
    <row r="3" spans="1:21" x14ac:dyDescent="0.15">
      <c r="A3" s="2"/>
      <c r="B3" s="8" t="s">
        <v>28</v>
      </c>
      <c r="C3" s="8" t="s">
        <v>29</v>
      </c>
      <c r="D3" s="8" t="s">
        <v>30</v>
      </c>
      <c r="E3" s="8" t="s">
        <v>31</v>
      </c>
      <c r="F3" s="26" t="s">
        <v>32</v>
      </c>
      <c r="G3" s="26" t="s">
        <v>33</v>
      </c>
      <c r="H3" s="26" t="s">
        <v>34</v>
      </c>
      <c r="I3" s="26" t="s">
        <v>35</v>
      </c>
      <c r="J3" s="26" t="s">
        <v>36</v>
      </c>
      <c r="K3" s="26" t="s">
        <v>37</v>
      </c>
      <c r="L3" s="26" t="s">
        <v>38</v>
      </c>
      <c r="M3" s="26" t="s">
        <v>39</v>
      </c>
      <c r="N3" s="26" t="s">
        <v>40</v>
      </c>
      <c r="O3" s="50" t="s">
        <v>41</v>
      </c>
      <c r="P3"/>
      <c r="Q3"/>
    </row>
    <row r="4" spans="1:21" x14ac:dyDescent="0.15">
      <c r="A4" s="27" t="s">
        <v>42</v>
      </c>
      <c r="B4" s="9"/>
      <c r="C4" s="9"/>
      <c r="D4" s="9"/>
      <c r="E4" s="9"/>
      <c r="F4" s="43"/>
      <c r="G4" s="43"/>
      <c r="H4" s="43"/>
      <c r="I4" s="43"/>
      <c r="J4" s="43"/>
      <c r="K4" s="43"/>
      <c r="L4" s="43"/>
      <c r="M4" s="43"/>
      <c r="N4" s="43"/>
      <c r="O4" s="51"/>
      <c r="P4"/>
      <c r="Q4"/>
    </row>
    <row r="5" spans="1:21" x14ac:dyDescent="0.15">
      <c r="A5" s="27"/>
      <c r="B5" s="9"/>
      <c r="C5" s="9"/>
      <c r="D5" s="9"/>
      <c r="E5" s="9"/>
      <c r="F5" s="43"/>
      <c r="G5" s="43"/>
      <c r="H5" s="43"/>
      <c r="I5" s="43"/>
      <c r="J5" s="43"/>
      <c r="K5" s="43"/>
      <c r="L5" s="43"/>
      <c r="M5" s="43"/>
      <c r="N5" s="43"/>
      <c r="O5" s="51"/>
      <c r="P5"/>
      <c r="Q5"/>
    </row>
    <row r="6" spans="1:21" x14ac:dyDescent="0.15">
      <c r="A6" s="27" t="s">
        <v>43</v>
      </c>
      <c r="B6" s="9"/>
      <c r="C6" s="9"/>
      <c r="D6" s="9"/>
      <c r="E6" s="9"/>
      <c r="F6" s="43"/>
      <c r="G6" s="43"/>
      <c r="H6" s="43"/>
      <c r="I6" s="43"/>
      <c r="J6" s="43"/>
      <c r="K6" s="43"/>
      <c r="L6" s="43"/>
      <c r="M6" s="43"/>
      <c r="N6" s="43"/>
      <c r="O6" s="51"/>
      <c r="P6"/>
      <c r="Q6"/>
    </row>
    <row r="7" spans="1:21" s="15" customFormat="1" x14ac:dyDescent="0.15">
      <c r="A7" s="13" t="s">
        <v>115</v>
      </c>
      <c r="B7" s="44">
        <f t="shared" ref="B7:G7" si="0">B8+B9+B10</f>
        <v>903508.95</v>
      </c>
      <c r="C7" s="44">
        <f t="shared" si="0"/>
        <v>907332.33000000007</v>
      </c>
      <c r="D7" s="44">
        <f t="shared" si="0"/>
        <v>856707.3</v>
      </c>
      <c r="E7" s="44">
        <f t="shared" si="0"/>
        <v>862892.7</v>
      </c>
      <c r="F7" s="44">
        <f t="shared" si="0"/>
        <v>957185.74</v>
      </c>
      <c r="G7" s="44">
        <f t="shared" si="0"/>
        <v>957105.62</v>
      </c>
      <c r="H7" s="44">
        <f t="shared" ref="H7:M7" si="1">SUM(H8:H10)</f>
        <v>975807.34</v>
      </c>
      <c r="I7" s="44">
        <f t="shared" si="1"/>
        <v>1032980.2</v>
      </c>
      <c r="J7" s="44">
        <f t="shared" si="1"/>
        <v>968590.75</v>
      </c>
      <c r="K7" s="44">
        <f t="shared" si="1"/>
        <v>858108.21</v>
      </c>
      <c r="L7" s="44">
        <f t="shared" si="1"/>
        <v>917761.52</v>
      </c>
      <c r="M7" s="44">
        <f t="shared" si="1"/>
        <v>1018912.63</v>
      </c>
      <c r="N7" s="44">
        <f>SUM(B7:M7)</f>
        <v>11216893.290000001</v>
      </c>
      <c r="O7" s="52"/>
    </row>
    <row r="8" spans="1:21" x14ac:dyDescent="0.15">
      <c r="A8" s="6" t="s">
        <v>89</v>
      </c>
      <c r="B8" s="71">
        <v>546408.15</v>
      </c>
      <c r="C8" s="24">
        <v>496585.77</v>
      </c>
      <c r="D8" s="24">
        <v>571123.26</v>
      </c>
      <c r="E8" s="24">
        <v>583847.22</v>
      </c>
      <c r="F8" s="47">
        <v>632103.57999999996</v>
      </c>
      <c r="G8" s="47">
        <v>625143.5</v>
      </c>
      <c r="H8" s="47">
        <v>754562.5</v>
      </c>
      <c r="I8" s="47">
        <v>761833.36</v>
      </c>
      <c r="J8" s="47">
        <v>741081.19</v>
      </c>
      <c r="K8" s="47">
        <v>641306.85</v>
      </c>
      <c r="L8" s="47">
        <v>654317.36</v>
      </c>
      <c r="M8" s="47">
        <v>658691.99</v>
      </c>
      <c r="N8" s="47">
        <f>SUM(B8:M8)</f>
        <v>7667004.7300000014</v>
      </c>
      <c r="O8" s="53"/>
    </row>
    <row r="9" spans="1:21" x14ac:dyDescent="0.15">
      <c r="A9" s="6" t="s">
        <v>87</v>
      </c>
      <c r="B9" s="71">
        <v>357100.79999999999</v>
      </c>
      <c r="C9" s="24">
        <v>410746.56</v>
      </c>
      <c r="D9" s="24">
        <v>285584.03999999998</v>
      </c>
      <c r="E9" s="24">
        <v>279045.48</v>
      </c>
      <c r="F9" s="47">
        <v>179192.16</v>
      </c>
      <c r="G9" s="47">
        <v>187062.12</v>
      </c>
      <c r="H9" s="47">
        <v>178836.84</v>
      </c>
      <c r="I9" s="47">
        <v>193242.84</v>
      </c>
      <c r="J9" s="47">
        <v>177541.56</v>
      </c>
      <c r="K9" s="47">
        <v>155025.35999999999</v>
      </c>
      <c r="L9" s="47">
        <v>200192.16</v>
      </c>
      <c r="M9" s="47">
        <v>293602.64</v>
      </c>
      <c r="N9" s="47">
        <f>SUM(B9:M9)</f>
        <v>2897172.56</v>
      </c>
      <c r="O9" s="53"/>
    </row>
    <row r="10" spans="1:21" x14ac:dyDescent="0.15">
      <c r="A10" s="6" t="s">
        <v>88</v>
      </c>
      <c r="B10" s="71"/>
      <c r="C10" s="24"/>
      <c r="D10" s="24"/>
      <c r="E10" s="24"/>
      <c r="F10" s="47">
        <v>145890</v>
      </c>
      <c r="G10" s="47">
        <v>144900</v>
      </c>
      <c r="H10" s="47">
        <v>42408</v>
      </c>
      <c r="I10" s="47">
        <v>77904</v>
      </c>
      <c r="J10" s="47">
        <v>49968</v>
      </c>
      <c r="K10" s="47">
        <v>61776</v>
      </c>
      <c r="L10" s="47">
        <v>63252</v>
      </c>
      <c r="M10" s="47">
        <v>66618</v>
      </c>
      <c r="N10" s="47">
        <f>SUM(B10:M10)</f>
        <v>652716</v>
      </c>
      <c r="O10" s="53"/>
    </row>
    <row r="11" spans="1:21" s="60" customFormat="1" x14ac:dyDescent="0.15">
      <c r="A11" s="59" t="s">
        <v>93</v>
      </c>
      <c r="B11" s="44">
        <f>B12+B13+B14</f>
        <v>80358.850000000006</v>
      </c>
      <c r="C11" s="44">
        <f>C12+C13+C14</f>
        <v>65787.490000000005</v>
      </c>
      <c r="D11" s="44">
        <f>D12+D13+D14</f>
        <v>81565.930000000008</v>
      </c>
      <c r="E11" s="44">
        <f>E12+E13+E14</f>
        <v>55255.85</v>
      </c>
      <c r="F11" s="44">
        <f>F12+F13+F14</f>
        <v>54195.72</v>
      </c>
      <c r="G11" s="44">
        <f t="shared" ref="G11:N11" si="2">G12+G13+G14</f>
        <v>60419.64</v>
      </c>
      <c r="H11" s="44">
        <f t="shared" si="2"/>
        <v>65270.92</v>
      </c>
      <c r="I11" s="44">
        <f t="shared" si="2"/>
        <v>70729.72</v>
      </c>
      <c r="J11" s="44">
        <f t="shared" si="2"/>
        <v>74800.070000000007</v>
      </c>
      <c r="K11" s="44">
        <f t="shared" si="2"/>
        <v>67670.48000000001</v>
      </c>
      <c r="L11" s="44">
        <f t="shared" si="2"/>
        <v>79032.760000000009</v>
      </c>
      <c r="M11" s="44">
        <f>SUM(M12:M14)</f>
        <v>132749.08000000002</v>
      </c>
      <c r="N11" s="44">
        <f t="shared" si="2"/>
        <v>887836.51</v>
      </c>
      <c r="O11" s="52"/>
      <c r="U11" s="60" t="s">
        <v>6</v>
      </c>
    </row>
    <row r="12" spans="1:21" x14ac:dyDescent="0.15">
      <c r="A12" s="6" t="s">
        <v>90</v>
      </c>
      <c r="B12" s="47">
        <v>2795.77</v>
      </c>
      <c r="C12" s="47">
        <v>2795.77</v>
      </c>
      <c r="D12" s="47">
        <v>2795.77</v>
      </c>
      <c r="E12" s="47">
        <v>1695.77</v>
      </c>
      <c r="F12" s="47">
        <v>6900</v>
      </c>
      <c r="G12" s="47">
        <v>6900</v>
      </c>
      <c r="H12" s="47">
        <v>6900</v>
      </c>
      <c r="I12" s="47">
        <f>6900+9600</f>
        <v>16500</v>
      </c>
      <c r="J12" s="47">
        <v>6900</v>
      </c>
      <c r="K12" s="47">
        <v>6900</v>
      </c>
      <c r="L12" s="47">
        <v>6900</v>
      </c>
      <c r="M12" s="47">
        <v>6900</v>
      </c>
      <c r="N12" s="47">
        <f>SUM(B12:M12)</f>
        <v>74883.08</v>
      </c>
      <c r="O12" s="53"/>
    </row>
    <row r="13" spans="1:21" x14ac:dyDescent="0.15">
      <c r="A13" s="6" t="s">
        <v>91</v>
      </c>
      <c r="B13" s="47">
        <v>77563.08</v>
      </c>
      <c r="C13" s="47">
        <v>62991.72</v>
      </c>
      <c r="D13" s="47">
        <v>78770.16</v>
      </c>
      <c r="E13" s="47">
        <v>53560.08</v>
      </c>
      <c r="F13" s="47">
        <v>41145.72</v>
      </c>
      <c r="G13" s="47">
        <v>45881.64</v>
      </c>
      <c r="H13" s="47">
        <v>50032.92</v>
      </c>
      <c r="I13" s="47">
        <v>45891.72</v>
      </c>
      <c r="J13" s="47">
        <v>46452.07</v>
      </c>
      <c r="K13" s="47">
        <v>52432.480000000003</v>
      </c>
      <c r="L13" s="47">
        <v>60554.76</v>
      </c>
      <c r="M13" s="47">
        <v>114649.08</v>
      </c>
      <c r="N13" s="47">
        <f>SUM(B13:M13)</f>
        <v>729925.43</v>
      </c>
      <c r="O13" s="53"/>
    </row>
    <row r="14" spans="1:21" x14ac:dyDescent="0.15">
      <c r="A14" s="6" t="s">
        <v>92</v>
      </c>
      <c r="B14" s="47"/>
      <c r="C14" s="47"/>
      <c r="D14" s="47"/>
      <c r="E14" s="47"/>
      <c r="F14" s="47">
        <v>6150</v>
      </c>
      <c r="G14" s="47">
        <f>SUM(6150+1488)</f>
        <v>7638</v>
      </c>
      <c r="H14" s="47">
        <v>8338</v>
      </c>
      <c r="I14" s="47">
        <v>8338</v>
      </c>
      <c r="J14" s="47">
        <v>21448</v>
      </c>
      <c r="K14" s="47">
        <v>8338</v>
      </c>
      <c r="L14" s="47">
        <v>11578</v>
      </c>
      <c r="M14" s="47">
        <v>11200</v>
      </c>
      <c r="N14" s="47">
        <f>SUM(B14:M14)</f>
        <v>83028</v>
      </c>
      <c r="O14" s="53"/>
    </row>
    <row r="15" spans="1:21" s="72" customFormat="1" x14ac:dyDescent="0.15">
      <c r="A15" s="13" t="s">
        <v>114</v>
      </c>
      <c r="B15" s="66">
        <v>251015.36</v>
      </c>
      <c r="C15" s="66">
        <v>254172.79999999999</v>
      </c>
      <c r="D15" s="66">
        <v>224335.93</v>
      </c>
      <c r="E15" s="66">
        <v>225621.13</v>
      </c>
      <c r="F15" s="44">
        <v>258763.55</v>
      </c>
      <c r="G15" s="44">
        <v>101611.99</v>
      </c>
      <c r="H15" s="44">
        <v>279441.3</v>
      </c>
      <c r="I15" s="44">
        <v>300948.63</v>
      </c>
      <c r="J15" s="44">
        <v>220414.6</v>
      </c>
      <c r="K15" s="44">
        <v>712587.38</v>
      </c>
      <c r="L15" s="44">
        <v>183487.92</v>
      </c>
      <c r="M15" s="44">
        <v>228690.36</v>
      </c>
      <c r="N15" s="44">
        <f>SUM(B15:M15)</f>
        <v>3241090.9499999997</v>
      </c>
      <c r="O15" s="52"/>
    </row>
    <row r="16" spans="1:21" s="15" customFormat="1" x14ac:dyDescent="0.15">
      <c r="A16" s="13" t="s">
        <v>116</v>
      </c>
      <c r="B16" s="14">
        <v>57</v>
      </c>
      <c r="C16" s="14">
        <v>57</v>
      </c>
      <c r="D16" s="66"/>
      <c r="E16" s="66">
        <v>114</v>
      </c>
      <c r="F16" s="44"/>
      <c r="G16" s="44"/>
      <c r="H16" s="44"/>
      <c r="I16" s="44"/>
      <c r="J16" s="44"/>
      <c r="K16" s="44"/>
      <c r="L16" s="44"/>
      <c r="M16" s="44"/>
      <c r="N16" s="44">
        <f>SUM(B16:M16)</f>
        <v>228</v>
      </c>
      <c r="O16" s="52"/>
    </row>
    <row r="17" spans="1:17" s="15" customFormat="1" x14ac:dyDescent="0.15">
      <c r="A17" s="13"/>
      <c r="B17" s="14"/>
      <c r="C17" s="14"/>
      <c r="D17" s="66"/>
      <c r="E17" s="66"/>
      <c r="F17" s="44"/>
      <c r="G17" s="44"/>
      <c r="H17" s="44"/>
      <c r="I17" s="44"/>
      <c r="J17" s="44"/>
      <c r="K17" s="44"/>
      <c r="L17" s="44"/>
      <c r="M17" s="44"/>
      <c r="N17" s="44"/>
      <c r="O17" s="52"/>
    </row>
    <row r="18" spans="1:17" s="15" customFormat="1" x14ac:dyDescent="0.15">
      <c r="A18" s="28" t="s">
        <v>44</v>
      </c>
      <c r="B18" s="44">
        <f>B7+B11+B15+B16</f>
        <v>1234940.1599999999</v>
      </c>
      <c r="C18" s="44">
        <f>C7+C11+C15+C16</f>
        <v>1227349.6200000001</v>
      </c>
      <c r="D18" s="44">
        <f t="shared" ref="D18:M18" si="3">D7+D11+D15+D16</f>
        <v>1162609.1600000001</v>
      </c>
      <c r="E18" s="66">
        <f>E7+E11+E15+E16</f>
        <v>1143883.68</v>
      </c>
      <c r="F18" s="44">
        <f t="shared" si="3"/>
        <v>1270145.01</v>
      </c>
      <c r="G18" s="44">
        <f t="shared" si="3"/>
        <v>1119137.25</v>
      </c>
      <c r="H18" s="44">
        <f t="shared" si="3"/>
        <v>1320519.56</v>
      </c>
      <c r="I18" s="44">
        <f t="shared" si="3"/>
        <v>1404658.5499999998</v>
      </c>
      <c r="J18" s="44">
        <f t="shared" si="3"/>
        <v>1263805.4200000002</v>
      </c>
      <c r="K18" s="44">
        <f t="shared" si="3"/>
        <v>1638366.0699999998</v>
      </c>
      <c r="L18" s="44">
        <f t="shared" si="3"/>
        <v>1180282.2</v>
      </c>
      <c r="M18" s="44">
        <f t="shared" si="3"/>
        <v>1380352.0699999998</v>
      </c>
      <c r="N18" s="44">
        <f>N7+N11+N15+N16</f>
        <v>15346048.75</v>
      </c>
      <c r="O18" s="52"/>
    </row>
    <row r="19" spans="1:17" s="15" customFormat="1" x14ac:dyDescent="0.15">
      <c r="A19" s="13"/>
      <c r="B19" s="14"/>
      <c r="C19" s="14"/>
      <c r="D19" s="14"/>
      <c r="E19" s="66"/>
      <c r="F19" s="44"/>
      <c r="G19" s="44"/>
      <c r="H19" s="44"/>
      <c r="I19" s="44"/>
      <c r="J19" s="44"/>
      <c r="K19" s="44"/>
      <c r="L19" s="44"/>
      <c r="M19" s="44"/>
      <c r="N19" s="44"/>
      <c r="O19" s="52"/>
    </row>
    <row r="20" spans="1:17" x14ac:dyDescent="0.15">
      <c r="A20" s="27" t="s">
        <v>98</v>
      </c>
      <c r="B20" s="43">
        <f>SUM(B21:B25)</f>
        <v>1207186.04</v>
      </c>
      <c r="C20" s="43">
        <f>SUM(C21:C25)</f>
        <v>950387.79</v>
      </c>
      <c r="D20" s="43">
        <f>SUM(D21:D25)</f>
        <v>1033394.85</v>
      </c>
      <c r="E20" s="43">
        <f>SUM(E21:E25)</f>
        <v>794427.93</v>
      </c>
      <c r="F20" s="43">
        <f>SUM(F21:F25)</f>
        <v>941129.08</v>
      </c>
      <c r="G20" s="43">
        <f t="shared" ref="G20:M20" si="4">SUM(G21:G25)</f>
        <v>889606.56</v>
      </c>
      <c r="H20" s="43">
        <f t="shared" si="4"/>
        <v>1380415.05</v>
      </c>
      <c r="I20" s="43">
        <f t="shared" si="4"/>
        <v>1038068.3099999999</v>
      </c>
      <c r="J20" s="43">
        <f t="shared" si="4"/>
        <v>978716.13</v>
      </c>
      <c r="K20" s="43">
        <f t="shared" si="4"/>
        <v>1157609.0899999999</v>
      </c>
      <c r="L20" s="43">
        <f t="shared" si="4"/>
        <v>1584056.12</v>
      </c>
      <c r="M20" s="43">
        <f t="shared" si="4"/>
        <v>944811.48</v>
      </c>
      <c r="N20" s="44">
        <f t="shared" ref="N20:N25" si="5">SUM(B20:M20)</f>
        <v>12899808.43</v>
      </c>
      <c r="O20" s="51"/>
      <c r="P20"/>
      <c r="Q20"/>
    </row>
    <row r="21" spans="1:17" s="62" customFormat="1" x14ac:dyDescent="0.15">
      <c r="A21" s="61" t="s">
        <v>113</v>
      </c>
      <c r="B21" s="47">
        <v>1004593.87</v>
      </c>
      <c r="C21" s="47">
        <v>829938.17</v>
      </c>
      <c r="D21" s="106">
        <v>880714.2</v>
      </c>
      <c r="E21" s="71">
        <v>736918.78</v>
      </c>
      <c r="F21" s="47">
        <f>833894.42+57</f>
        <v>833951.42</v>
      </c>
      <c r="G21" s="47">
        <v>702670.65</v>
      </c>
      <c r="H21" s="47">
        <v>927407.15</v>
      </c>
      <c r="I21" s="47">
        <v>933289.7</v>
      </c>
      <c r="J21" s="47">
        <v>809332.63</v>
      </c>
      <c r="K21" s="47">
        <v>893909.57</v>
      </c>
      <c r="L21" s="47">
        <v>1352803.11</v>
      </c>
      <c r="M21" s="47">
        <v>816508.29</v>
      </c>
      <c r="N21" s="47">
        <f t="shared" si="5"/>
        <v>10722037.539999999</v>
      </c>
      <c r="O21" s="53"/>
    </row>
    <row r="22" spans="1:17" s="62" customFormat="1" x14ac:dyDescent="0.15">
      <c r="A22" s="61" t="s">
        <v>94</v>
      </c>
      <c r="B22" s="47">
        <v>102473.9</v>
      </c>
      <c r="C22" s="47">
        <v>52891.61</v>
      </c>
      <c r="D22" s="106">
        <v>111673.15</v>
      </c>
      <c r="E22" s="71">
        <v>36591.35</v>
      </c>
      <c r="F22" s="47">
        <f>6900+37074.56</f>
        <v>43974.559999999998</v>
      </c>
      <c r="G22" s="47">
        <v>29819.360000000001</v>
      </c>
      <c r="H22" s="47">
        <v>111321.4</v>
      </c>
      <c r="I22" s="47">
        <v>23290.32</v>
      </c>
      <c r="J22" s="47">
        <v>59103.48</v>
      </c>
      <c r="K22" s="47">
        <v>58578.400000000001</v>
      </c>
      <c r="L22" s="47">
        <v>67926.64</v>
      </c>
      <c r="M22" s="47">
        <v>88738.85</v>
      </c>
      <c r="N22" s="47">
        <f t="shared" si="5"/>
        <v>786383.02</v>
      </c>
      <c r="O22" s="53"/>
    </row>
    <row r="23" spans="1:17" s="73" customFormat="1" x14ac:dyDescent="0.15">
      <c r="A23" s="61" t="s">
        <v>112</v>
      </c>
      <c r="B23" s="47">
        <v>94271.27</v>
      </c>
      <c r="C23" s="47">
        <v>63932.01</v>
      </c>
      <c r="D23" s="106">
        <v>39829.5</v>
      </c>
      <c r="E23" s="71">
        <v>20803.8</v>
      </c>
      <c r="F23" s="47">
        <v>42289.1</v>
      </c>
      <c r="G23" s="47">
        <v>157116.54999999999</v>
      </c>
      <c r="H23" s="47">
        <v>341686.5</v>
      </c>
      <c r="I23" s="47">
        <v>81488.289999999994</v>
      </c>
      <c r="J23" s="47">
        <v>110280.02</v>
      </c>
      <c r="K23" s="47">
        <v>205121.12</v>
      </c>
      <c r="L23" s="47">
        <v>161246.37</v>
      </c>
      <c r="M23" s="47">
        <v>39564.339999999997</v>
      </c>
      <c r="N23" s="47">
        <f t="shared" si="5"/>
        <v>1357628.8700000003</v>
      </c>
      <c r="O23" s="53"/>
    </row>
    <row r="24" spans="1:17" s="73" customFormat="1" x14ac:dyDescent="0.15">
      <c r="A24" s="61" t="s">
        <v>131</v>
      </c>
      <c r="B24" s="47">
        <v>57</v>
      </c>
      <c r="C24" s="47">
        <v>57</v>
      </c>
      <c r="D24" s="106"/>
      <c r="E24" s="71">
        <v>114</v>
      </c>
      <c r="F24" s="47">
        <v>20914</v>
      </c>
      <c r="G24" s="47"/>
      <c r="H24" s="47"/>
      <c r="I24" s="47"/>
      <c r="J24" s="47"/>
      <c r="K24" s="47"/>
      <c r="L24" s="47"/>
      <c r="M24" s="47"/>
      <c r="N24" s="47">
        <f t="shared" si="5"/>
        <v>21142</v>
      </c>
      <c r="O24" s="53"/>
    </row>
    <row r="25" spans="1:17" s="62" customFormat="1" x14ac:dyDescent="0.15">
      <c r="A25" s="61" t="s">
        <v>132</v>
      </c>
      <c r="B25" s="47">
        <v>5790</v>
      </c>
      <c r="C25" s="47">
        <v>3569</v>
      </c>
      <c r="D25" s="106">
        <v>1178</v>
      </c>
      <c r="E25" s="71"/>
      <c r="F25" s="107"/>
      <c r="G25" s="47"/>
      <c r="H25" s="47"/>
      <c r="I25" s="47"/>
      <c r="J25" s="47"/>
      <c r="K25" s="47"/>
      <c r="L25" s="47">
        <v>2080</v>
      </c>
      <c r="M25" s="47"/>
      <c r="N25" s="47">
        <f t="shared" si="5"/>
        <v>12617</v>
      </c>
      <c r="O25" s="53"/>
      <c r="P25" s="73"/>
    </row>
    <row r="26" spans="1:17" s="62" customFormat="1" x14ac:dyDescent="0.15">
      <c r="A26" s="27" t="s">
        <v>95</v>
      </c>
      <c r="B26" s="47"/>
      <c r="C26" s="47"/>
      <c r="D26" s="106"/>
      <c r="E26" s="71"/>
      <c r="F26" s="47"/>
      <c r="G26" s="47"/>
      <c r="H26" s="47"/>
      <c r="I26" s="47"/>
      <c r="J26" s="47"/>
      <c r="K26" s="47"/>
      <c r="L26" s="47"/>
      <c r="M26" s="47"/>
      <c r="N26" s="47"/>
      <c r="O26" s="53"/>
    </row>
    <row r="27" spans="1:17" s="62" customFormat="1" x14ac:dyDescent="0.15">
      <c r="A27" s="61" t="s">
        <v>96</v>
      </c>
      <c r="B27" s="47">
        <v>31781.3</v>
      </c>
      <c r="C27" s="47">
        <v>19173.759999999998</v>
      </c>
      <c r="D27" s="106"/>
      <c r="E27" s="71">
        <v>64536.74</v>
      </c>
      <c r="F27" s="47">
        <v>3014.59</v>
      </c>
      <c r="G27" s="47">
        <v>126632.85</v>
      </c>
      <c r="H27" s="47">
        <v>2020.83</v>
      </c>
      <c r="I27" s="47">
        <v>30141.74</v>
      </c>
      <c r="J27" s="47">
        <v>37776.58</v>
      </c>
      <c r="K27" s="47">
        <v>12541.57</v>
      </c>
      <c r="L27" s="47">
        <v>0</v>
      </c>
      <c r="M27" s="47">
        <v>84385.03</v>
      </c>
      <c r="N27" s="47">
        <f>SUM(B27:M27)</f>
        <v>412004.99</v>
      </c>
      <c r="O27" s="53"/>
    </row>
    <row r="28" spans="1:17" s="62" customFormat="1" x14ac:dyDescent="0.15">
      <c r="A28" s="61" t="s">
        <v>97</v>
      </c>
      <c r="B28" s="47"/>
      <c r="C28" s="47"/>
      <c r="D28" s="47"/>
      <c r="E28" s="71"/>
      <c r="F28" s="47"/>
      <c r="G28" s="47"/>
      <c r="H28" s="47"/>
      <c r="I28" s="47"/>
      <c r="J28" s="47"/>
      <c r="K28" s="47"/>
      <c r="L28" s="47"/>
      <c r="M28" s="47"/>
      <c r="N28" s="47">
        <f>SUM(B28:M28)</f>
        <v>0</v>
      </c>
      <c r="O28" s="53"/>
    </row>
    <row r="29" spans="1:17" s="15" customFormat="1" x14ac:dyDescent="0.15">
      <c r="A29" s="13" t="s">
        <v>6</v>
      </c>
      <c r="B29" s="14"/>
      <c r="C29" s="14"/>
      <c r="D29" s="14"/>
      <c r="E29" s="66"/>
      <c r="F29" s="44"/>
      <c r="G29" s="44"/>
      <c r="H29" s="44"/>
      <c r="I29" s="44"/>
      <c r="J29" s="44"/>
      <c r="K29" s="44"/>
      <c r="L29" s="44"/>
      <c r="M29" s="44"/>
      <c r="N29" s="44"/>
      <c r="O29" s="52"/>
    </row>
    <row r="30" spans="1:17" s="64" customFormat="1" x14ac:dyDescent="0.15">
      <c r="A30" s="63" t="s">
        <v>106</v>
      </c>
      <c r="B30" s="54">
        <f>SUM(B21:B25)</f>
        <v>1207186.04</v>
      </c>
      <c r="C30" s="54">
        <f>SUM(C21:C25)</f>
        <v>950387.79</v>
      </c>
      <c r="D30" s="54">
        <f>SUM(D21:D25)</f>
        <v>1033394.85</v>
      </c>
      <c r="E30" s="54">
        <f t="shared" ref="E30:N30" si="6">SUM(E21:E25)</f>
        <v>794427.93</v>
      </c>
      <c r="F30" s="54">
        <f>SUM(F21:F24)</f>
        <v>941129.08</v>
      </c>
      <c r="G30" s="54">
        <f t="shared" si="6"/>
        <v>889606.56</v>
      </c>
      <c r="H30" s="54">
        <f t="shared" si="6"/>
        <v>1380415.05</v>
      </c>
      <c r="I30" s="54">
        <f t="shared" si="6"/>
        <v>1038068.3099999999</v>
      </c>
      <c r="J30" s="54">
        <f t="shared" si="6"/>
        <v>978716.13</v>
      </c>
      <c r="K30" s="54">
        <f t="shared" si="6"/>
        <v>1157609.0899999999</v>
      </c>
      <c r="L30" s="54">
        <f t="shared" si="6"/>
        <v>1584056.12</v>
      </c>
      <c r="M30" s="54">
        <f t="shared" si="6"/>
        <v>944811.48</v>
      </c>
      <c r="N30" s="54">
        <f t="shared" si="6"/>
        <v>12899808.43</v>
      </c>
      <c r="O30" s="54"/>
    </row>
    <row r="31" spans="1:17" s="30" customFormat="1" x14ac:dyDescent="0.15">
      <c r="A31" s="28"/>
      <c r="B31" s="18"/>
      <c r="C31" s="18"/>
      <c r="D31" s="18"/>
      <c r="E31" s="18"/>
      <c r="F31" s="29"/>
      <c r="G31" s="29"/>
      <c r="H31" s="29"/>
      <c r="I31" s="29"/>
      <c r="J31" s="29"/>
      <c r="K31" s="29"/>
      <c r="L31" s="29"/>
      <c r="M31" s="29"/>
      <c r="N31" s="29"/>
      <c r="O31" s="54"/>
    </row>
    <row r="32" spans="1:17" s="30" customFormat="1" x14ac:dyDescent="0.15">
      <c r="A32" s="28" t="s">
        <v>76</v>
      </c>
      <c r="B32" s="54">
        <f>B30-B18</f>
        <v>-27754.119999999879</v>
      </c>
      <c r="C32" s="54">
        <f>SUM(C30-C18)</f>
        <v>-276961.83000000007</v>
      </c>
      <c r="D32" s="54">
        <f t="shared" ref="D32:N32" si="7">D30-D18</f>
        <v>-129214.31000000017</v>
      </c>
      <c r="E32" s="54">
        <f t="shared" si="7"/>
        <v>-349455.74999999988</v>
      </c>
      <c r="F32" s="54">
        <f t="shared" si="7"/>
        <v>-329015.93000000005</v>
      </c>
      <c r="G32" s="54">
        <f t="shared" si="7"/>
        <v>-229530.68999999994</v>
      </c>
      <c r="H32" s="54">
        <f t="shared" si="7"/>
        <v>59895.489999999991</v>
      </c>
      <c r="I32" s="54">
        <f t="shared" si="7"/>
        <v>-366590.23999999987</v>
      </c>
      <c r="J32" s="54">
        <f t="shared" si="7"/>
        <v>-285089.29000000015</v>
      </c>
      <c r="K32" s="54">
        <f t="shared" si="7"/>
        <v>-480756.98</v>
      </c>
      <c r="L32" s="54">
        <f t="shared" si="7"/>
        <v>403773.92000000016</v>
      </c>
      <c r="M32" s="54">
        <f t="shared" si="7"/>
        <v>-435540.58999999985</v>
      </c>
      <c r="N32" s="54">
        <f t="shared" si="7"/>
        <v>-2446240.3200000003</v>
      </c>
      <c r="O32" s="54"/>
    </row>
    <row r="33" spans="1:17" s="30" customFormat="1" x14ac:dyDescent="0.15">
      <c r="A33" s="28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 s="15" customFormat="1" x14ac:dyDescent="0.15">
      <c r="A34" s="17" t="s">
        <v>74</v>
      </c>
      <c r="B34" s="35">
        <f>SUM(B41)</f>
        <v>1132450.77</v>
      </c>
      <c r="C34" s="35">
        <f>SUM(C41)</f>
        <v>963614.54</v>
      </c>
      <c r="D34" s="35">
        <f>SUM(D41)</f>
        <v>1032251.73</v>
      </c>
      <c r="E34" s="35">
        <f>SUM(E41)</f>
        <v>855045.14999999991</v>
      </c>
      <c r="F34" s="35">
        <f>SUM(F41)</f>
        <v>829158.43</v>
      </c>
      <c r="G34" s="35">
        <f t="shared" ref="G34:M34" si="8">SUM(G41)</f>
        <v>847479.34</v>
      </c>
      <c r="H34" s="35">
        <f t="shared" si="8"/>
        <v>952817.44</v>
      </c>
      <c r="I34" s="35">
        <f t="shared" si="8"/>
        <v>894883.66999999993</v>
      </c>
      <c r="J34" s="35">
        <f t="shared" si="8"/>
        <v>1022594.16</v>
      </c>
      <c r="K34" s="35">
        <f t="shared" si="8"/>
        <v>1218405.1499999999</v>
      </c>
      <c r="L34" s="35">
        <f t="shared" si="8"/>
        <v>1199897.42</v>
      </c>
      <c r="M34" s="35">
        <f t="shared" si="8"/>
        <v>1397298.55</v>
      </c>
      <c r="N34" s="44">
        <f>SUM(B34:M34)</f>
        <v>12345896.350000001</v>
      </c>
      <c r="O34" s="54">
        <f>O82+O72+O66+O59+O52+O75</f>
        <v>10567947</v>
      </c>
    </row>
    <row r="35" spans="1:17" s="15" customFormat="1" x14ac:dyDescent="0.15">
      <c r="A35" s="33"/>
      <c r="B35" s="14"/>
      <c r="C35" s="14"/>
      <c r="D35" s="14"/>
      <c r="E35" s="14"/>
      <c r="F35" s="44"/>
      <c r="G35" s="44"/>
      <c r="H35" s="44"/>
      <c r="I35" s="44"/>
      <c r="J35" s="44"/>
      <c r="K35" s="44"/>
      <c r="L35" s="44"/>
      <c r="M35" s="44"/>
      <c r="N35" s="44"/>
      <c r="O35" s="52"/>
    </row>
    <row r="36" spans="1:17" x14ac:dyDescent="0.15">
      <c r="A36" s="17" t="s">
        <v>75</v>
      </c>
      <c r="B36" s="43">
        <f t="shared" ref="B36:N36" si="9">SUM(B30-B41)</f>
        <v>74735.270000000019</v>
      </c>
      <c r="C36" s="43">
        <f t="shared" si="9"/>
        <v>-13226.75</v>
      </c>
      <c r="D36" s="43">
        <f t="shared" si="9"/>
        <v>1143.1199999999953</v>
      </c>
      <c r="E36" s="43">
        <f t="shared" si="9"/>
        <v>-60617.219999999856</v>
      </c>
      <c r="F36" s="43">
        <f t="shared" si="9"/>
        <v>111970.64999999991</v>
      </c>
      <c r="G36" s="43">
        <f t="shared" si="9"/>
        <v>42127.220000000088</v>
      </c>
      <c r="H36" s="43">
        <f t="shared" si="9"/>
        <v>427597.6100000001</v>
      </c>
      <c r="I36" s="43">
        <f t="shared" si="9"/>
        <v>143184.64000000001</v>
      </c>
      <c r="J36" s="43">
        <f t="shared" si="9"/>
        <v>-43878.030000000028</v>
      </c>
      <c r="K36" s="43">
        <f t="shared" si="9"/>
        <v>-60796.060000000056</v>
      </c>
      <c r="L36" s="43">
        <f t="shared" si="9"/>
        <v>384158.70000000019</v>
      </c>
      <c r="M36" s="43">
        <f t="shared" si="9"/>
        <v>-452487.07000000007</v>
      </c>
      <c r="N36" s="43">
        <f t="shared" si="9"/>
        <v>553912.07999999821</v>
      </c>
      <c r="O36" s="51"/>
      <c r="P36"/>
      <c r="Q36"/>
    </row>
    <row r="37" spans="1:17" x14ac:dyDescent="0.15">
      <c r="A37" s="17"/>
      <c r="B37" s="9"/>
      <c r="C37" s="9"/>
      <c r="D37" s="9"/>
      <c r="E37" s="9"/>
      <c r="F37" s="43"/>
      <c r="G37" s="43"/>
      <c r="H37" s="43"/>
      <c r="I37" s="43"/>
      <c r="J37" s="43"/>
      <c r="K37" s="43"/>
      <c r="L37" s="43"/>
      <c r="M37" s="43"/>
      <c r="N37" s="43"/>
      <c r="O37" s="51"/>
      <c r="P37"/>
      <c r="Q37"/>
    </row>
    <row r="38" spans="1:17" x14ac:dyDescent="0.15">
      <c r="A38" s="17" t="s">
        <v>77</v>
      </c>
      <c r="B38" s="43">
        <f t="shared" ref="B38:H38" si="10">B18-B34</f>
        <v>102489.3899999999</v>
      </c>
      <c r="C38" s="43">
        <f t="shared" si="10"/>
        <v>263735.08000000007</v>
      </c>
      <c r="D38" s="43">
        <f t="shared" si="10"/>
        <v>130357.43000000017</v>
      </c>
      <c r="E38" s="43">
        <f t="shared" si="10"/>
        <v>288838.53000000003</v>
      </c>
      <c r="F38" s="43">
        <f t="shared" si="10"/>
        <v>440986.57999999996</v>
      </c>
      <c r="G38" s="43">
        <f t="shared" si="10"/>
        <v>271657.91000000003</v>
      </c>
      <c r="H38" s="43">
        <f t="shared" si="10"/>
        <v>367702.12000000011</v>
      </c>
      <c r="I38" s="43">
        <f t="shared" ref="I38:N38" si="11">SUM(I18-I41)</f>
        <v>509774.87999999989</v>
      </c>
      <c r="J38" s="43">
        <f t="shared" si="11"/>
        <v>241211.26000000013</v>
      </c>
      <c r="K38" s="43">
        <f t="shared" si="11"/>
        <v>419960.91999999993</v>
      </c>
      <c r="L38" s="43">
        <f t="shared" si="11"/>
        <v>-19615.219999999972</v>
      </c>
      <c r="M38" s="43">
        <f t="shared" si="11"/>
        <v>-16946.480000000214</v>
      </c>
      <c r="N38" s="43">
        <f t="shared" si="11"/>
        <v>3000152.3999999985</v>
      </c>
      <c r="O38" s="56"/>
      <c r="P38"/>
      <c r="Q38"/>
    </row>
    <row r="39" spans="1:17" s="30" customFormat="1" x14ac:dyDescent="0.15">
      <c r="A39" s="28"/>
      <c r="B39" s="18"/>
      <c r="C39" s="18"/>
      <c r="D39" s="18"/>
      <c r="E39" s="18"/>
      <c r="F39" s="29"/>
      <c r="G39" s="29"/>
      <c r="H39" s="29"/>
      <c r="I39" s="29"/>
      <c r="J39" s="29"/>
      <c r="K39" s="29"/>
      <c r="L39" s="29"/>
      <c r="M39" s="29"/>
      <c r="N39" s="29"/>
      <c r="O39" s="54"/>
    </row>
    <row r="40" spans="1:17" x14ac:dyDescent="0.15">
      <c r="A40" s="28"/>
      <c r="B40" s="18"/>
      <c r="C40" s="18"/>
      <c r="D40" s="18"/>
      <c r="E40" s="18"/>
      <c r="F40" s="29"/>
      <c r="G40" s="29"/>
      <c r="H40" s="29"/>
      <c r="I40" s="29"/>
      <c r="J40" s="29"/>
      <c r="K40" s="29"/>
      <c r="L40" s="29"/>
      <c r="M40" s="29"/>
      <c r="N40" s="29"/>
      <c r="O40" s="54"/>
      <c r="P40" s="30"/>
      <c r="Q40" s="30"/>
    </row>
    <row r="41" spans="1:17" x14ac:dyDescent="0.15">
      <c r="A41" s="27" t="s">
        <v>45</v>
      </c>
      <c r="B41" s="43">
        <f t="shared" ref="B41:K41" si="12">SUM(B52+B59+B66+B72+B75+B82+B84+B86+B88)</f>
        <v>1132450.77</v>
      </c>
      <c r="C41" s="43">
        <f t="shared" si="12"/>
        <v>963614.54</v>
      </c>
      <c r="D41" s="43">
        <f t="shared" si="12"/>
        <v>1032251.73</v>
      </c>
      <c r="E41" s="43">
        <f t="shared" si="12"/>
        <v>855045.14999999991</v>
      </c>
      <c r="F41" s="43">
        <f t="shared" si="12"/>
        <v>829158.43</v>
      </c>
      <c r="G41" s="43">
        <f t="shared" si="12"/>
        <v>847479.34</v>
      </c>
      <c r="H41" s="43">
        <f t="shared" si="12"/>
        <v>952817.44</v>
      </c>
      <c r="I41" s="43">
        <f t="shared" si="12"/>
        <v>894883.66999999993</v>
      </c>
      <c r="J41" s="43">
        <f t="shared" si="12"/>
        <v>1022594.16</v>
      </c>
      <c r="K41" s="43">
        <f t="shared" si="12"/>
        <v>1218405.1499999999</v>
      </c>
      <c r="L41" s="43">
        <f>SUM(L52+L59+L66+L72+L75+L82+L84+L86+L88)</f>
        <v>1199897.42</v>
      </c>
      <c r="M41" s="43">
        <f>M52+M59+M66+M72+M75+M82+M84+M88</f>
        <v>1397298.55</v>
      </c>
      <c r="N41" s="44">
        <f>SUM(B41:M41)</f>
        <v>12345896.350000001</v>
      </c>
      <c r="O41" s="51">
        <f>O52+O59+O66+O72+O82+O75</f>
        <v>10567947</v>
      </c>
    </row>
    <row r="42" spans="1:17" s="16" customFormat="1" x14ac:dyDescent="0.15">
      <c r="A42" s="3" t="s">
        <v>46</v>
      </c>
      <c r="B42" s="74"/>
      <c r="C42" s="9"/>
      <c r="D42" s="19"/>
      <c r="E42" s="9"/>
      <c r="F42" s="43"/>
      <c r="G42" s="43"/>
      <c r="H42" s="43"/>
      <c r="I42" s="43"/>
      <c r="J42" s="43"/>
      <c r="K42" s="43"/>
      <c r="L42" s="43"/>
      <c r="M42" s="43"/>
      <c r="N42" s="43"/>
      <c r="O42" s="51"/>
      <c r="P42"/>
      <c r="Q42"/>
    </row>
    <row r="43" spans="1:17" s="16" customFormat="1" ht="21.75" x14ac:dyDescent="0.15">
      <c r="A43" s="31" t="s">
        <v>47</v>
      </c>
      <c r="B43" s="71">
        <f>10000+5000</f>
        <v>15000</v>
      </c>
      <c r="C43" s="71">
        <f>5000+5000+5000</f>
        <v>15000</v>
      </c>
      <c r="D43" s="24">
        <f>5000+10000</f>
        <v>15000</v>
      </c>
      <c r="E43" s="24">
        <f>5000+5000+7000</f>
        <v>17000</v>
      </c>
      <c r="F43" s="46">
        <f>10000+8000</f>
        <v>18000</v>
      </c>
      <c r="G43" s="46">
        <f>23000</f>
        <v>23000</v>
      </c>
      <c r="H43" s="46">
        <f>12000+7000+7000</f>
        <v>26000</v>
      </c>
      <c r="I43" s="47">
        <f>10000+10000</f>
        <v>20000</v>
      </c>
      <c r="J43" s="47">
        <f>12000+15000</f>
        <v>27000</v>
      </c>
      <c r="K43" s="47">
        <f>10000+5500+10000</f>
        <v>25500</v>
      </c>
      <c r="L43" s="47">
        <f>11000+10000</f>
        <v>21000</v>
      </c>
      <c r="M43" s="47">
        <f>5100+10000+52200+6750</f>
        <v>74050</v>
      </c>
      <c r="N43" s="47">
        <f t="shared" ref="N43:N51" si="13">SUM(B43:M43)</f>
        <v>296550</v>
      </c>
      <c r="O43" s="55">
        <v>180000</v>
      </c>
    </row>
    <row r="44" spans="1:17" s="16" customFormat="1" ht="21.75" x14ac:dyDescent="0.15">
      <c r="A44" s="31" t="s">
        <v>48</v>
      </c>
      <c r="B44" s="71">
        <v>5790</v>
      </c>
      <c r="C44" s="71">
        <v>3569</v>
      </c>
      <c r="D44" s="24">
        <v>1178</v>
      </c>
      <c r="E44" s="24"/>
      <c r="F44" s="46">
        <f>781.2</f>
        <v>781.2</v>
      </c>
      <c r="G44" s="46"/>
      <c r="H44" s="46">
        <f>1234.33</f>
        <v>1234.33</v>
      </c>
      <c r="I44" s="47">
        <f>18160+26545.5</f>
        <v>44705.5</v>
      </c>
      <c r="J44" s="47">
        <f>9350</f>
        <v>9350</v>
      </c>
      <c r="K44" s="47">
        <f>7536</f>
        <v>7536</v>
      </c>
      <c r="L44" s="47">
        <v>5550</v>
      </c>
      <c r="M44" s="47">
        <f>5992.23</f>
        <v>5992.23</v>
      </c>
      <c r="N44" s="47">
        <f t="shared" si="13"/>
        <v>85686.26</v>
      </c>
      <c r="O44" s="55">
        <v>100000</v>
      </c>
    </row>
    <row r="45" spans="1:17" s="16" customFormat="1" x14ac:dyDescent="0.15">
      <c r="A45" s="6" t="s">
        <v>49</v>
      </c>
      <c r="B45" s="71"/>
      <c r="C45" s="71"/>
      <c r="D45" s="24"/>
      <c r="E45" s="24"/>
      <c r="F45" s="46"/>
      <c r="G45" s="46"/>
      <c r="H45" s="46"/>
      <c r="I45" s="47"/>
      <c r="J45" s="47"/>
      <c r="K45" s="47"/>
      <c r="L45" s="47"/>
      <c r="M45" s="47"/>
      <c r="N45" s="47">
        <f t="shared" si="13"/>
        <v>0</v>
      </c>
      <c r="O45" s="53">
        <v>80000</v>
      </c>
    </row>
    <row r="46" spans="1:17" s="16" customFormat="1" x14ac:dyDescent="0.15">
      <c r="A46" s="6" t="s">
        <v>50</v>
      </c>
      <c r="B46" s="71"/>
      <c r="C46" s="71"/>
      <c r="D46" s="24"/>
      <c r="E46" s="24">
        <f>5580+1527.5</f>
        <v>7107.5</v>
      </c>
      <c r="F46" s="46">
        <f>3347.1</f>
        <v>3347.1</v>
      </c>
      <c r="G46" s="46"/>
      <c r="H46" s="46"/>
      <c r="I46" s="47"/>
      <c r="J46" s="47"/>
      <c r="K46" s="47">
        <f>1560</f>
        <v>1560</v>
      </c>
      <c r="L46" s="47"/>
      <c r="M46" s="47"/>
      <c r="N46" s="47">
        <f t="shared" si="13"/>
        <v>12014.6</v>
      </c>
      <c r="O46" s="53">
        <v>80000</v>
      </c>
    </row>
    <row r="47" spans="1:17" s="16" customFormat="1" x14ac:dyDescent="0.15">
      <c r="A47" s="6" t="s">
        <v>51</v>
      </c>
      <c r="B47" s="71"/>
      <c r="C47" s="71"/>
      <c r="D47" s="24"/>
      <c r="E47" s="24"/>
      <c r="F47" s="46"/>
      <c r="G47" s="46">
        <f>7536.3</f>
        <v>7536.3</v>
      </c>
      <c r="H47" s="46">
        <f>25000+4771</f>
        <v>29771</v>
      </c>
      <c r="I47" s="47">
        <f>25000</f>
        <v>25000</v>
      </c>
      <c r="J47" s="47"/>
      <c r="K47" s="47">
        <f>5625</f>
        <v>5625</v>
      </c>
      <c r="L47" s="47"/>
      <c r="M47" s="47"/>
      <c r="N47" s="47">
        <f t="shared" si="13"/>
        <v>67932.3</v>
      </c>
      <c r="O47" s="53">
        <v>70000</v>
      </c>
    </row>
    <row r="48" spans="1:17" s="16" customFormat="1" x14ac:dyDescent="0.15">
      <c r="A48" s="6" t="s">
        <v>52</v>
      </c>
      <c r="B48" s="71"/>
      <c r="C48" s="71"/>
      <c r="D48" s="24"/>
      <c r="E48" s="24"/>
      <c r="F48" s="46"/>
      <c r="G48" s="46"/>
      <c r="H48" s="46"/>
      <c r="I48" s="47"/>
      <c r="J48" s="47"/>
      <c r="K48" s="47"/>
      <c r="L48" s="47"/>
      <c r="M48" s="47"/>
      <c r="N48" s="47">
        <f t="shared" si="13"/>
        <v>0</v>
      </c>
      <c r="O48" s="53">
        <v>1355347</v>
      </c>
    </row>
    <row r="49" spans="1:17" s="16" customFormat="1" x14ac:dyDescent="0.15">
      <c r="A49" s="6" t="s">
        <v>53</v>
      </c>
      <c r="B49" s="71"/>
      <c r="C49" s="71"/>
      <c r="D49" s="24"/>
      <c r="E49" s="24"/>
      <c r="F49" s="46"/>
      <c r="G49" s="46"/>
      <c r="H49" s="46"/>
      <c r="I49" s="47"/>
      <c r="J49" s="47"/>
      <c r="K49" s="47"/>
      <c r="L49" s="47"/>
      <c r="M49" s="47"/>
      <c r="N49" s="47">
        <f t="shared" si="13"/>
        <v>0</v>
      </c>
      <c r="O49" s="53">
        <v>60000</v>
      </c>
    </row>
    <row r="50" spans="1:17" s="16" customFormat="1" x14ac:dyDescent="0.15">
      <c r="A50" s="6" t="s">
        <v>54</v>
      </c>
      <c r="B50" s="71"/>
      <c r="C50" s="71"/>
      <c r="D50" s="24"/>
      <c r="E50" s="24"/>
      <c r="F50" s="46"/>
      <c r="G50" s="46"/>
      <c r="H50" s="46"/>
      <c r="I50" s="47"/>
      <c r="J50" s="47"/>
      <c r="K50" s="47"/>
      <c r="L50" s="47"/>
      <c r="M50" s="47"/>
      <c r="N50" s="47">
        <f t="shared" si="13"/>
        <v>0</v>
      </c>
      <c r="O50" s="53">
        <v>120000</v>
      </c>
    </row>
    <row r="51" spans="1:17" s="32" customFormat="1" x14ac:dyDescent="0.15">
      <c r="A51" s="6" t="s">
        <v>55</v>
      </c>
      <c r="B51" s="71"/>
      <c r="C51" s="71">
        <v>5118.92</v>
      </c>
      <c r="D51" s="24"/>
      <c r="E51" s="24"/>
      <c r="F51" s="47"/>
      <c r="G51" s="47"/>
      <c r="H51" s="46">
        <v>17340</v>
      </c>
      <c r="I51" s="47"/>
      <c r="J51" s="47"/>
      <c r="K51" s="47"/>
      <c r="L51" s="47"/>
      <c r="M51" s="47"/>
      <c r="N51" s="47">
        <f t="shared" si="13"/>
        <v>22458.92</v>
      </c>
      <c r="O51" s="53">
        <v>70000</v>
      </c>
      <c r="P51" s="16"/>
      <c r="Q51" s="16"/>
    </row>
    <row r="52" spans="1:17" s="32" customFormat="1" x14ac:dyDescent="0.15">
      <c r="A52" s="14" t="s">
        <v>56</v>
      </c>
      <c r="B52" s="66">
        <f t="shared" ref="B52:G52" si="14">SUM(B43:B51)</f>
        <v>20790</v>
      </c>
      <c r="C52" s="66">
        <f>SUM(C43:C51)</f>
        <v>23687.919999999998</v>
      </c>
      <c r="D52" s="20">
        <f>SUM(D43:D51)</f>
        <v>16178</v>
      </c>
      <c r="E52" s="20">
        <f>SUM(E43:E51)</f>
        <v>24107.5</v>
      </c>
      <c r="F52" s="44">
        <f t="shared" si="14"/>
        <v>22128.3</v>
      </c>
      <c r="G52" s="44">
        <f t="shared" si="14"/>
        <v>30536.3</v>
      </c>
      <c r="H52" s="44">
        <f t="shared" ref="H52:M52" si="15">SUM(H43:H51)</f>
        <v>74345.33</v>
      </c>
      <c r="I52" s="44">
        <f t="shared" si="15"/>
        <v>89705.5</v>
      </c>
      <c r="J52" s="44">
        <f>SUM(J43:J51)</f>
        <v>36350</v>
      </c>
      <c r="K52" s="44">
        <f t="shared" si="15"/>
        <v>40221</v>
      </c>
      <c r="L52" s="44">
        <f t="shared" si="15"/>
        <v>26550</v>
      </c>
      <c r="M52" s="44">
        <f t="shared" si="15"/>
        <v>80042.23</v>
      </c>
      <c r="N52" s="44">
        <f>SUM(B52:M52)</f>
        <v>484642.07999999996</v>
      </c>
      <c r="O52" s="44">
        <f>SUM(O43:O51)</f>
        <v>2115347</v>
      </c>
    </row>
    <row r="53" spans="1:17" s="32" customFormat="1" x14ac:dyDescent="0.15">
      <c r="A53" s="14"/>
      <c r="B53" s="66"/>
      <c r="C53" s="66"/>
      <c r="D53" s="20"/>
      <c r="E53" s="20"/>
      <c r="F53" s="44"/>
      <c r="G53" s="44"/>
      <c r="H53" s="44"/>
      <c r="I53" s="44"/>
      <c r="J53" s="44"/>
      <c r="K53" s="44"/>
      <c r="L53" s="44"/>
      <c r="M53" s="44"/>
      <c r="N53" s="44"/>
      <c r="O53" s="52"/>
    </row>
    <row r="54" spans="1:17" s="16" customFormat="1" x14ac:dyDescent="0.15">
      <c r="A54" s="33" t="s">
        <v>57</v>
      </c>
      <c r="B54" s="66"/>
      <c r="C54" s="66"/>
      <c r="D54" s="20"/>
      <c r="E54" s="20"/>
      <c r="F54" s="44"/>
      <c r="G54" s="44"/>
      <c r="H54" s="44"/>
      <c r="I54" s="44"/>
      <c r="J54" s="44"/>
      <c r="K54" s="44"/>
      <c r="L54" s="44"/>
      <c r="M54" s="44"/>
      <c r="N54" s="44"/>
      <c r="O54" s="52"/>
      <c r="P54" s="32"/>
      <c r="Q54" s="32"/>
    </row>
    <row r="55" spans="1:17" s="16" customFormat="1" ht="21.75" x14ac:dyDescent="0.15">
      <c r="A55" s="34" t="s">
        <v>127</v>
      </c>
      <c r="B55" s="71">
        <f>2777.88+9933</f>
        <v>12710.880000000001</v>
      </c>
      <c r="C55" s="71">
        <v>3148.16</v>
      </c>
      <c r="D55" s="24">
        <f>3148.16+3148.16</f>
        <v>6296.32</v>
      </c>
      <c r="E55" s="24">
        <f>4050+9933</f>
        <v>13983</v>
      </c>
      <c r="F55" s="46">
        <f>3148.16</f>
        <v>3148.16</v>
      </c>
      <c r="G55" s="46">
        <f>3148.16+10980</f>
        <v>14128.16</v>
      </c>
      <c r="H55" s="46">
        <f>3148.17</f>
        <v>3148.17</v>
      </c>
      <c r="I55" s="47">
        <f>3148.17</f>
        <v>3148.17</v>
      </c>
      <c r="J55" s="47">
        <f>25100</f>
        <v>25100</v>
      </c>
      <c r="K55" s="47">
        <f>3148.15+3148.16+19724.4</f>
        <v>26020.71</v>
      </c>
      <c r="L55" s="47">
        <f>3148.16+25000</f>
        <v>28148.16</v>
      </c>
      <c r="M55" s="47">
        <f>3148.16</f>
        <v>3148.16</v>
      </c>
      <c r="N55" s="47">
        <f>SUM(B55:M55)</f>
        <v>142128.05000000002</v>
      </c>
      <c r="O55" s="53">
        <v>410500</v>
      </c>
    </row>
    <row r="56" spans="1:17" s="16" customFormat="1" ht="21.75" x14ac:dyDescent="0.15">
      <c r="A56" s="34" t="s">
        <v>59</v>
      </c>
      <c r="B56" s="71"/>
      <c r="C56" s="71"/>
      <c r="D56" s="24"/>
      <c r="E56" s="24"/>
      <c r="F56" s="46">
        <f>19800</f>
        <v>19800</v>
      </c>
      <c r="G56" s="46"/>
      <c r="H56" s="46"/>
      <c r="I56" s="47"/>
      <c r="J56" s="47">
        <f>16272</f>
        <v>16272</v>
      </c>
      <c r="K56" s="47"/>
      <c r="L56" s="47"/>
      <c r="M56" s="47"/>
      <c r="N56" s="47">
        <f>SUM(B56:M56)</f>
        <v>36072</v>
      </c>
      <c r="O56" s="53">
        <v>385800</v>
      </c>
    </row>
    <row r="57" spans="1:17" s="16" customFormat="1" ht="31.5" x14ac:dyDescent="0.15">
      <c r="A57" s="31" t="s">
        <v>60</v>
      </c>
      <c r="B57" s="71">
        <f>10000+25000+20000</f>
        <v>55000</v>
      </c>
      <c r="C57" s="71">
        <f>20000+20000+12000</f>
        <v>52000</v>
      </c>
      <c r="D57" s="24">
        <f>36000</f>
        <v>36000</v>
      </c>
      <c r="E57" s="24">
        <f>5000+36000</f>
        <v>41000</v>
      </c>
      <c r="F57" s="46">
        <f>15000+18000</f>
        <v>33000</v>
      </c>
      <c r="G57" s="46">
        <f>20000+30000</f>
        <v>50000</v>
      </c>
      <c r="H57" s="46">
        <f>31000+30000+29000</f>
        <v>90000</v>
      </c>
      <c r="I57" s="47">
        <f>30000+25000</f>
        <v>55000</v>
      </c>
      <c r="J57" s="47">
        <f>12648+30000</f>
        <v>42648</v>
      </c>
      <c r="K57" s="47">
        <f>38399+34000+34700</f>
        <v>107099</v>
      </c>
      <c r="L57" s="47">
        <f>20000+20000+28798</f>
        <v>68798</v>
      </c>
      <c r="M57" s="47">
        <f>20000+36000</f>
        <v>56000</v>
      </c>
      <c r="N57" s="47">
        <f>SUM(B57:M57)</f>
        <v>686545</v>
      </c>
      <c r="O57" s="53">
        <v>725500</v>
      </c>
    </row>
    <row r="58" spans="1:17" s="32" customFormat="1" x14ac:dyDescent="0.15">
      <c r="A58" s="6" t="s">
        <v>61</v>
      </c>
      <c r="B58" s="71">
        <v>71455</v>
      </c>
      <c r="C58" s="71">
        <v>71455</v>
      </c>
      <c r="D58" s="24">
        <v>65325</v>
      </c>
      <c r="E58" s="24">
        <v>66975</v>
      </c>
      <c r="F58" s="46">
        <f>71550</f>
        <v>71550</v>
      </c>
      <c r="G58" s="46">
        <f>82550</f>
        <v>82550</v>
      </c>
      <c r="H58" s="46">
        <v>82550</v>
      </c>
      <c r="I58" s="47">
        <v>77975</v>
      </c>
      <c r="J58" s="47">
        <f>69650</f>
        <v>69650</v>
      </c>
      <c r="K58" s="47">
        <f>66680</f>
        <v>66680</v>
      </c>
      <c r="L58" s="47">
        <f>61300</f>
        <v>61300</v>
      </c>
      <c r="M58" s="47">
        <v>65390</v>
      </c>
      <c r="N58" s="47">
        <f>SUM(B58:M58)</f>
        <v>852855</v>
      </c>
      <c r="O58" s="53">
        <v>980000</v>
      </c>
      <c r="P58" s="16"/>
      <c r="Q58" s="16"/>
    </row>
    <row r="59" spans="1:17" s="32" customFormat="1" x14ac:dyDescent="0.15">
      <c r="A59" s="14" t="s">
        <v>62</v>
      </c>
      <c r="B59" s="66">
        <f>SUM(B55:B58)</f>
        <v>139165.88</v>
      </c>
      <c r="C59" s="66">
        <f>SUM(C55:C58)</f>
        <v>126603.16</v>
      </c>
      <c r="D59" s="20">
        <f>SUM(D55:D58)</f>
        <v>107621.32</v>
      </c>
      <c r="E59" s="20">
        <f>SUM(E55:E58)</f>
        <v>121958</v>
      </c>
      <c r="F59" s="35">
        <f t="shared" ref="F59:L59" si="16">SUM(F55:F58)</f>
        <v>127498.16</v>
      </c>
      <c r="G59" s="44">
        <f t="shared" si="16"/>
        <v>146678.16</v>
      </c>
      <c r="H59" s="44">
        <f t="shared" si="16"/>
        <v>175698.16999999998</v>
      </c>
      <c r="I59" s="44">
        <f t="shared" si="16"/>
        <v>136123.16999999998</v>
      </c>
      <c r="J59" s="44">
        <f>SUM(J55:J58)</f>
        <v>153670</v>
      </c>
      <c r="K59" s="44">
        <f t="shared" si="16"/>
        <v>199799.71</v>
      </c>
      <c r="L59" s="44">
        <f t="shared" si="16"/>
        <v>158246.16</v>
      </c>
      <c r="M59" s="44">
        <f>SUM(M55:M58)</f>
        <v>124538.16</v>
      </c>
      <c r="N59" s="44">
        <f>SUM(B59:M59)</f>
        <v>1717600.0499999998</v>
      </c>
      <c r="O59" s="52">
        <f>SUM(O55:O58)</f>
        <v>2501800</v>
      </c>
    </row>
    <row r="60" spans="1:17" s="16" customFormat="1" x14ac:dyDescent="0.15">
      <c r="A60" s="14"/>
      <c r="B60" s="66"/>
      <c r="C60" s="66"/>
      <c r="D60" s="20"/>
      <c r="E60" s="20"/>
      <c r="F60" s="35"/>
      <c r="G60" s="44"/>
      <c r="H60" s="44"/>
      <c r="I60" s="44"/>
      <c r="J60" s="44"/>
      <c r="K60" s="44"/>
      <c r="L60" s="44"/>
      <c r="M60" s="44"/>
      <c r="N60" s="44"/>
      <c r="O60" s="52"/>
      <c r="P60" s="32"/>
      <c r="Q60" s="32"/>
    </row>
    <row r="61" spans="1:17" s="16" customFormat="1" x14ac:dyDescent="0.15">
      <c r="A61" s="33" t="s">
        <v>63</v>
      </c>
      <c r="B61" s="66"/>
      <c r="C61" s="66"/>
      <c r="D61" s="20"/>
      <c r="E61" s="20"/>
      <c r="F61" s="35"/>
      <c r="G61" s="44"/>
      <c r="H61" s="44"/>
      <c r="I61" s="44"/>
      <c r="J61" s="44"/>
      <c r="K61" s="44"/>
      <c r="L61" s="44"/>
      <c r="M61" s="44"/>
      <c r="N61" s="44"/>
      <c r="O61" s="52"/>
      <c r="P61" s="32"/>
      <c r="Q61" s="32"/>
    </row>
    <row r="62" spans="1:17" s="16" customFormat="1" ht="21.75" x14ac:dyDescent="0.15">
      <c r="A62" s="31" t="s">
        <v>64</v>
      </c>
      <c r="B62" s="71">
        <f>7000+7000</f>
        <v>14000</v>
      </c>
      <c r="C62" s="71">
        <v>7000</v>
      </c>
      <c r="D62" s="24">
        <v>7000</v>
      </c>
      <c r="E62" s="24">
        <v>7000</v>
      </c>
      <c r="F62" s="46">
        <f>9000</f>
        <v>9000</v>
      </c>
      <c r="G62" s="46"/>
      <c r="H62" s="46">
        <f>9000+9000</f>
        <v>18000</v>
      </c>
      <c r="I62" s="47">
        <f>9000</f>
        <v>9000</v>
      </c>
      <c r="J62" s="47">
        <f>9000</f>
        <v>9000</v>
      </c>
      <c r="K62" s="47">
        <v>9000</v>
      </c>
      <c r="L62" s="47">
        <f>9000</f>
        <v>9000</v>
      </c>
      <c r="M62" s="47"/>
      <c r="N62" s="47">
        <f>SUM(B62:M62)</f>
        <v>98000</v>
      </c>
      <c r="O62" s="53">
        <v>796800</v>
      </c>
    </row>
    <row r="63" spans="1:17" s="16" customFormat="1" ht="21.75" x14ac:dyDescent="0.15">
      <c r="A63" s="31" t="s">
        <v>65</v>
      </c>
      <c r="B63" s="71">
        <v>6300</v>
      </c>
      <c r="C63" s="71">
        <f>1502+6300</f>
        <v>7802</v>
      </c>
      <c r="D63" s="24">
        <f>6300+882</f>
        <v>7182</v>
      </c>
      <c r="E63" s="24">
        <f>3780+6300</f>
        <v>10080</v>
      </c>
      <c r="F63" s="46">
        <f>6300</f>
        <v>6300</v>
      </c>
      <c r="G63" s="46">
        <f>6300</f>
        <v>6300</v>
      </c>
      <c r="H63" s="46">
        <v>6300</v>
      </c>
      <c r="I63" s="47">
        <f>1500+6300+12520+5060</f>
        <v>25380</v>
      </c>
      <c r="J63" s="47">
        <f>5060+6300</f>
        <v>11360</v>
      </c>
      <c r="K63" s="47">
        <f>6300</f>
        <v>6300</v>
      </c>
      <c r="L63" s="47">
        <f>6300</f>
        <v>6300</v>
      </c>
      <c r="M63" s="47">
        <f>6300</f>
        <v>6300</v>
      </c>
      <c r="N63" s="47">
        <f>SUM(B63:M63)</f>
        <v>105904</v>
      </c>
      <c r="O63" s="53">
        <v>110000</v>
      </c>
    </row>
    <row r="64" spans="1:17" s="32" customFormat="1" x14ac:dyDescent="0.15">
      <c r="A64" s="6" t="s">
        <v>66</v>
      </c>
      <c r="B64" s="71">
        <f>3559.13+1000+194</f>
        <v>4753.13</v>
      </c>
      <c r="C64" s="71">
        <f>1000+4132.66+198</f>
        <v>5330.66</v>
      </c>
      <c r="D64" s="24">
        <f>18000+4337.29+188</f>
        <v>22525.29</v>
      </c>
      <c r="E64" s="24">
        <f>1000+4683.05+208</f>
        <v>5891.05</v>
      </c>
      <c r="F64" s="46">
        <f>3015.76+190</f>
        <v>3205.76</v>
      </c>
      <c r="G64" s="46">
        <v>186</v>
      </c>
      <c r="H64" s="46">
        <f>3637.05+4075.93+202</f>
        <v>7914.98</v>
      </c>
      <c r="I64" s="47">
        <f>2996.6+2099+229</f>
        <v>5324.6</v>
      </c>
      <c r="J64" s="47">
        <f>1000+4351.92+300</f>
        <v>5651.92</v>
      </c>
      <c r="K64" s="47">
        <f>3869.57+318+100</f>
        <v>4287.57</v>
      </c>
      <c r="L64" s="47">
        <f>3970.97+500+304</f>
        <v>4774.9699999999993</v>
      </c>
      <c r="M64" s="47">
        <f>5072.48+500+240.35+100</f>
        <v>5912.83</v>
      </c>
      <c r="N64" s="47">
        <f>SUM(B64:M64)</f>
        <v>75758.760000000009</v>
      </c>
      <c r="O64" s="53">
        <v>100000</v>
      </c>
      <c r="P64" s="16"/>
      <c r="Q64" s="16"/>
    </row>
    <row r="65" spans="1:17" s="32" customFormat="1" x14ac:dyDescent="0.15">
      <c r="A65" s="6" t="s">
        <v>67</v>
      </c>
      <c r="B65" s="71"/>
      <c r="C65" s="71"/>
      <c r="D65" s="24"/>
      <c r="E65" s="24"/>
      <c r="F65" s="46"/>
      <c r="G65" s="46"/>
      <c r="H65" s="47"/>
      <c r="I65" s="47"/>
      <c r="J65" s="47"/>
      <c r="K65" s="47"/>
      <c r="L65" s="47"/>
      <c r="M65" s="47"/>
      <c r="N65" s="47">
        <f>SUM(B65:M65)</f>
        <v>0</v>
      </c>
      <c r="O65" s="53">
        <v>60000</v>
      </c>
      <c r="P65" s="16"/>
      <c r="Q65" s="16"/>
    </row>
    <row r="66" spans="1:17" s="16" customFormat="1" x14ac:dyDescent="0.15">
      <c r="A66" s="14" t="s">
        <v>68</v>
      </c>
      <c r="B66" s="66">
        <f t="shared" ref="B66:G66" si="17">SUM(B62:B65)</f>
        <v>25053.13</v>
      </c>
      <c r="C66" s="66">
        <f t="shared" si="17"/>
        <v>20132.66</v>
      </c>
      <c r="D66" s="20">
        <f t="shared" si="17"/>
        <v>36707.29</v>
      </c>
      <c r="E66" s="20">
        <f t="shared" si="17"/>
        <v>22971.05</v>
      </c>
      <c r="F66" s="35">
        <f t="shared" si="17"/>
        <v>18505.760000000002</v>
      </c>
      <c r="G66" s="44">
        <f t="shared" si="17"/>
        <v>6486</v>
      </c>
      <c r="H66" s="44">
        <f t="shared" ref="H66:M66" si="18">SUM(H62:H65)</f>
        <v>32214.98</v>
      </c>
      <c r="I66" s="44">
        <f t="shared" si="18"/>
        <v>39704.6</v>
      </c>
      <c r="J66" s="44">
        <f>SUM(J62:J65)</f>
        <v>26011.919999999998</v>
      </c>
      <c r="K66" s="44">
        <f t="shared" si="18"/>
        <v>19587.57</v>
      </c>
      <c r="L66" s="44">
        <f t="shared" si="18"/>
        <v>20074.97</v>
      </c>
      <c r="M66" s="44">
        <f t="shared" si="18"/>
        <v>12212.83</v>
      </c>
      <c r="N66" s="44">
        <f>SUM(B66:M66)</f>
        <v>279662.76000000007</v>
      </c>
      <c r="O66" s="52">
        <f>SUM(O62:O65)</f>
        <v>1066800</v>
      </c>
      <c r="P66" s="32"/>
      <c r="Q66" s="32"/>
    </row>
    <row r="67" spans="1:17" s="16" customFormat="1" x14ac:dyDescent="0.15">
      <c r="A67" s="14"/>
      <c r="B67" s="66"/>
      <c r="C67" s="66"/>
      <c r="D67" s="20"/>
      <c r="E67" s="20"/>
      <c r="F67" s="35"/>
      <c r="G67" s="44"/>
      <c r="H67" s="44"/>
      <c r="I67" s="44"/>
      <c r="J67" s="44"/>
      <c r="K67" s="44"/>
      <c r="L67" s="44"/>
      <c r="M67" s="44"/>
      <c r="N67" s="44"/>
      <c r="O67" s="52"/>
      <c r="P67" s="32"/>
      <c r="Q67" s="32"/>
    </row>
    <row r="68" spans="1:17" s="16" customFormat="1" x14ac:dyDescent="0.15">
      <c r="A68" s="33" t="s">
        <v>69</v>
      </c>
      <c r="B68" s="66"/>
      <c r="C68" s="66"/>
      <c r="D68" s="20"/>
      <c r="E68" s="20"/>
      <c r="F68" s="35"/>
      <c r="G68" s="44"/>
      <c r="H68" s="44"/>
      <c r="I68" s="44"/>
      <c r="J68" s="44"/>
      <c r="K68" s="44"/>
      <c r="L68" s="44"/>
      <c r="M68" s="44"/>
      <c r="N68" s="44"/>
      <c r="O68" s="52"/>
      <c r="P68" s="32"/>
      <c r="Q68" s="32"/>
    </row>
    <row r="69" spans="1:17" s="32" customFormat="1" x14ac:dyDescent="0.15">
      <c r="A69" s="6" t="s">
        <v>70</v>
      </c>
      <c r="B69" s="71">
        <f>66000+66000</f>
        <v>132000</v>
      </c>
      <c r="C69" s="71">
        <f>66000+66000</f>
        <v>132000</v>
      </c>
      <c r="D69" s="24">
        <f>66000+66000+20000</f>
        <v>152000</v>
      </c>
      <c r="E69" s="24">
        <f>46000+66000</f>
        <v>112000</v>
      </c>
      <c r="F69" s="46">
        <f>66000+66000</f>
        <v>132000</v>
      </c>
      <c r="G69" s="46">
        <f>66000+66000</f>
        <v>132000</v>
      </c>
      <c r="H69" s="46">
        <f>SUM(66000+66000)</f>
        <v>132000</v>
      </c>
      <c r="I69" s="47">
        <f>66000+65050+66000</f>
        <v>197050</v>
      </c>
      <c r="J69" s="47">
        <f>66000+60000+30000+36000</f>
        <v>192000</v>
      </c>
      <c r="K69" s="47">
        <f>60000+60000+59860+66000</f>
        <v>245860</v>
      </c>
      <c r="L69" s="47">
        <f>60000+54860+60000+59860</f>
        <v>234720</v>
      </c>
      <c r="M69" s="47">
        <f>60000+59860+59860+60000</f>
        <v>239720</v>
      </c>
      <c r="N69" s="47">
        <f>SUM(B69:M69)</f>
        <v>2033350</v>
      </c>
      <c r="O69" s="53">
        <v>3000000</v>
      </c>
      <c r="P69" s="16"/>
      <c r="Q69" s="16"/>
    </row>
    <row r="70" spans="1:17" s="32" customFormat="1" x14ac:dyDescent="0.15">
      <c r="A70" s="6" t="s">
        <v>71</v>
      </c>
      <c r="B70" s="71">
        <v>4000</v>
      </c>
      <c r="C70" s="71">
        <v>4000</v>
      </c>
      <c r="D70" s="24">
        <f>4000+500</f>
        <v>4500</v>
      </c>
      <c r="E70" s="24">
        <v>4000</v>
      </c>
      <c r="F70" s="46">
        <f>750</f>
        <v>750</v>
      </c>
      <c r="G70" s="46">
        <f>4000+3840+4000</f>
        <v>11840</v>
      </c>
      <c r="H70" s="46"/>
      <c r="I70" s="47">
        <f>4000+45000.4</f>
        <v>49000.4</v>
      </c>
      <c r="J70" s="47">
        <f>2000</f>
        <v>2000</v>
      </c>
      <c r="K70" s="47">
        <f>51995.55+1300</f>
        <v>53295.55</v>
      </c>
      <c r="L70" s="47">
        <f>36648+53797.25+8000+60383.4</f>
        <v>158828.65</v>
      </c>
      <c r="M70" s="47">
        <f>45501+36648+20350+37600+25878.6+3000+1624</f>
        <v>170601.60000000001</v>
      </c>
      <c r="N70" s="47">
        <f>SUM(B70:M70)</f>
        <v>462816.19999999995</v>
      </c>
      <c r="O70" s="53">
        <v>282000</v>
      </c>
      <c r="P70" s="16"/>
      <c r="Q70" s="16"/>
    </row>
    <row r="71" spans="1:17" s="16" customFormat="1" x14ac:dyDescent="0.15">
      <c r="A71" s="6" t="s">
        <v>72</v>
      </c>
      <c r="B71" s="71"/>
      <c r="C71" s="71"/>
      <c r="D71" s="24"/>
      <c r="E71" s="24"/>
      <c r="F71" s="46">
        <f>35438.57</f>
        <v>35438.57</v>
      </c>
      <c r="G71" s="46"/>
      <c r="H71" s="46"/>
      <c r="I71" s="47"/>
      <c r="J71" s="47"/>
      <c r="K71" s="47"/>
      <c r="L71" s="47">
        <f>6437</f>
        <v>6437</v>
      </c>
      <c r="M71" s="47"/>
      <c r="N71" s="47">
        <f>SUM(B71:M71)</f>
        <v>41875.57</v>
      </c>
      <c r="O71" s="53">
        <v>100000</v>
      </c>
    </row>
    <row r="72" spans="1:17" s="16" customFormat="1" x14ac:dyDescent="0.15">
      <c r="A72" s="14" t="s">
        <v>73</v>
      </c>
      <c r="B72" s="66">
        <f>SUM(B69:B71)</f>
        <v>136000</v>
      </c>
      <c r="C72" s="66">
        <f>SUM(C69:C71)</f>
        <v>136000</v>
      </c>
      <c r="D72" s="20">
        <f>SUM(D69:D71)</f>
        <v>156500</v>
      </c>
      <c r="E72" s="20">
        <f>SUM(E69:E71)</f>
        <v>116000</v>
      </c>
      <c r="F72" s="35">
        <f t="shared" ref="F72:M72" si="19">SUM(F69:F71)</f>
        <v>168188.57</v>
      </c>
      <c r="G72" s="44">
        <f t="shared" si="19"/>
        <v>143840</v>
      </c>
      <c r="H72" s="44">
        <f t="shared" si="19"/>
        <v>132000</v>
      </c>
      <c r="I72" s="44">
        <f t="shared" si="19"/>
        <v>246050.4</v>
      </c>
      <c r="J72" s="44">
        <f t="shared" si="19"/>
        <v>194000</v>
      </c>
      <c r="K72" s="44">
        <f t="shared" si="19"/>
        <v>299155.55</v>
      </c>
      <c r="L72" s="44">
        <f t="shared" si="19"/>
        <v>399985.65</v>
      </c>
      <c r="M72" s="44">
        <f t="shared" si="19"/>
        <v>410321.6</v>
      </c>
      <c r="N72" s="44">
        <f>SUM(B72:M72)</f>
        <v>2538041.77</v>
      </c>
      <c r="O72" s="52">
        <f>SUM(O69:O71)</f>
        <v>3382000</v>
      </c>
      <c r="P72" s="32"/>
      <c r="Q72" s="32"/>
    </row>
    <row r="73" spans="1:17" s="16" customFormat="1" x14ac:dyDescent="0.15">
      <c r="A73" s="14"/>
      <c r="B73" s="66"/>
      <c r="C73" s="66"/>
      <c r="D73" s="20"/>
      <c r="E73" s="20"/>
      <c r="F73" s="35"/>
      <c r="G73" s="44"/>
      <c r="H73" s="44"/>
      <c r="I73" s="44"/>
      <c r="J73" s="44"/>
      <c r="K73" s="44"/>
      <c r="L73" s="44"/>
      <c r="M73" s="44"/>
      <c r="N73" s="44"/>
      <c r="O73" s="52"/>
      <c r="P73" s="32"/>
      <c r="Q73" s="32"/>
    </row>
    <row r="74" spans="1:17" s="16" customFormat="1" x14ac:dyDescent="0.15">
      <c r="A74" s="33" t="s">
        <v>119</v>
      </c>
      <c r="B74" s="71"/>
      <c r="C74" s="71">
        <v>25000</v>
      </c>
      <c r="D74" s="24"/>
      <c r="E74" s="24"/>
      <c r="F74" s="46"/>
      <c r="G74" s="47"/>
      <c r="H74" s="47"/>
      <c r="I74" s="47"/>
      <c r="J74" s="47"/>
      <c r="K74" s="47"/>
      <c r="L74" s="47">
        <f>825.6+412.8</f>
        <v>1238.4000000000001</v>
      </c>
      <c r="M74" s="47">
        <f>412.8+56000</f>
        <v>56412.800000000003</v>
      </c>
      <c r="N74" s="47">
        <f>SUM(B74:M74)</f>
        <v>82651.200000000012</v>
      </c>
      <c r="O74" s="53">
        <v>672000</v>
      </c>
      <c r="P74" s="32"/>
      <c r="Q74" s="32"/>
    </row>
    <row r="75" spans="1:17" s="16" customFormat="1" x14ac:dyDescent="0.15">
      <c r="A75" s="14" t="s">
        <v>120</v>
      </c>
      <c r="B75" s="66">
        <f>SUM(B74)</f>
        <v>0</v>
      </c>
      <c r="C75" s="66">
        <f>SUM(C74)</f>
        <v>25000</v>
      </c>
      <c r="D75" s="20">
        <f>SUM(D74)</f>
        <v>0</v>
      </c>
      <c r="E75" s="20">
        <f>SUM(E74)</f>
        <v>0</v>
      </c>
      <c r="F75" s="35"/>
      <c r="G75" s="44"/>
      <c r="H75" s="44"/>
      <c r="I75" s="44"/>
      <c r="J75" s="44"/>
      <c r="K75" s="44"/>
      <c r="L75" s="44">
        <f>SUM(L74)</f>
        <v>1238.4000000000001</v>
      </c>
      <c r="M75" s="44">
        <f>SUM(M74)</f>
        <v>56412.800000000003</v>
      </c>
      <c r="N75" s="44">
        <f>SUM(B75:M75)</f>
        <v>82651.200000000012</v>
      </c>
      <c r="O75" s="52">
        <f>O74</f>
        <v>672000</v>
      </c>
      <c r="P75" s="32"/>
      <c r="Q75" s="32"/>
    </row>
    <row r="76" spans="1:17" s="16" customFormat="1" x14ac:dyDescent="0.15">
      <c r="A76" s="14"/>
      <c r="B76" s="66"/>
      <c r="C76" s="66"/>
      <c r="D76" s="20"/>
      <c r="E76" s="20"/>
      <c r="F76" s="35"/>
      <c r="G76" s="44"/>
      <c r="H76" s="44"/>
      <c r="I76" s="44"/>
      <c r="J76" s="44"/>
      <c r="K76" s="44"/>
      <c r="L76" s="44"/>
      <c r="M76" s="44"/>
      <c r="N76" s="44"/>
      <c r="O76" s="52"/>
      <c r="P76" s="32"/>
      <c r="Q76" s="32"/>
    </row>
    <row r="77" spans="1:17" s="16" customFormat="1" x14ac:dyDescent="0.15">
      <c r="A77" s="33" t="s">
        <v>121</v>
      </c>
      <c r="B77" s="66"/>
      <c r="C77" s="66"/>
      <c r="D77" s="20"/>
      <c r="E77" s="20"/>
      <c r="F77" s="35"/>
      <c r="G77" s="44"/>
      <c r="H77" s="44"/>
      <c r="I77" s="44"/>
      <c r="J77" s="44"/>
      <c r="K77" s="44"/>
      <c r="L77" s="44"/>
      <c r="M77" s="44"/>
      <c r="N77" s="44"/>
      <c r="O77" s="52"/>
      <c r="P77" s="32"/>
      <c r="Q77" s="32"/>
    </row>
    <row r="78" spans="1:17" s="16" customFormat="1" x14ac:dyDescent="0.15">
      <c r="A78" s="6" t="s">
        <v>122</v>
      </c>
      <c r="B78" s="71">
        <v>166577.88</v>
      </c>
      <c r="C78" s="66"/>
      <c r="D78" s="24">
        <v>142390.92000000001</v>
      </c>
      <c r="E78" s="20"/>
      <c r="F78" s="46">
        <v>24381</v>
      </c>
      <c r="G78" s="47">
        <v>35295.120000000003</v>
      </c>
      <c r="H78" s="47">
        <v>9979.2000000000007</v>
      </c>
      <c r="I78" s="47">
        <v>28183.68</v>
      </c>
      <c r="J78" s="47">
        <v>48831.65</v>
      </c>
      <c r="K78" s="47">
        <v>74644.399999999994</v>
      </c>
      <c r="L78" s="47">
        <v>99724.01</v>
      </c>
      <c r="M78" s="44"/>
      <c r="N78" s="47">
        <f>SUM(B78:M78)</f>
        <v>630007.8600000001</v>
      </c>
      <c r="O78" s="52"/>
      <c r="P78" s="32"/>
      <c r="Q78" s="32"/>
    </row>
    <row r="79" spans="1:17" s="16" customFormat="1" x14ac:dyDescent="0.15">
      <c r="A79" s="6" t="s">
        <v>123</v>
      </c>
      <c r="B79" s="66"/>
      <c r="C79" s="66"/>
      <c r="D79" s="20"/>
      <c r="E79" s="20"/>
      <c r="F79" s="35"/>
      <c r="G79" s="44"/>
      <c r="H79" s="44"/>
      <c r="I79" s="44"/>
      <c r="J79" s="44"/>
      <c r="K79" s="44"/>
      <c r="L79" s="44"/>
      <c r="M79" s="44"/>
      <c r="N79" s="44"/>
      <c r="O79" s="52"/>
      <c r="P79" s="32"/>
      <c r="Q79" s="32"/>
    </row>
    <row r="80" spans="1:17" s="32" customFormat="1" x14ac:dyDescent="0.15">
      <c r="A80" s="6" t="s">
        <v>124</v>
      </c>
      <c r="B80" s="71">
        <v>2200</v>
      </c>
      <c r="C80" s="71">
        <v>2970</v>
      </c>
      <c r="D80" s="24"/>
      <c r="E80" s="24">
        <f>6613.6+17670+2320</f>
        <v>26603.599999999999</v>
      </c>
      <c r="F80" s="46">
        <f>5670+3300</f>
        <v>8970</v>
      </c>
      <c r="G80" s="46"/>
      <c r="H80" s="46">
        <f>2600</f>
        <v>2600</v>
      </c>
      <c r="I80" s="47">
        <f>3300</f>
        <v>3300</v>
      </c>
      <c r="J80" s="47">
        <f>4930+7914</f>
        <v>12844</v>
      </c>
      <c r="K80" s="47">
        <f>4799.04</f>
        <v>4799.04</v>
      </c>
      <c r="L80" s="47">
        <f>2700</f>
        <v>2700</v>
      </c>
      <c r="M80" s="47">
        <f>3300</f>
        <v>3300</v>
      </c>
      <c r="N80" s="47">
        <f>SUM(B80:M80)</f>
        <v>70286.64</v>
      </c>
      <c r="O80" s="53"/>
      <c r="P80" s="16"/>
      <c r="Q80" s="16"/>
    </row>
    <row r="81" spans="1:17" s="32" customFormat="1" x14ac:dyDescent="0.15">
      <c r="A81" s="6" t="s">
        <v>125</v>
      </c>
      <c r="B81" s="71"/>
      <c r="C81" s="71"/>
      <c r="D81" s="24"/>
      <c r="E81" s="24"/>
      <c r="F81" s="46"/>
      <c r="G81" s="46"/>
      <c r="H81" s="46"/>
      <c r="I81" s="47"/>
      <c r="J81" s="47"/>
      <c r="K81" s="47">
        <f>15000+18600</f>
        <v>33600</v>
      </c>
      <c r="L81" s="47"/>
      <c r="M81" s="47"/>
      <c r="N81" s="47">
        <f>SUM(B81:M81)</f>
        <v>33600</v>
      </c>
      <c r="O81" s="53"/>
      <c r="P81" s="16"/>
      <c r="Q81" s="16"/>
    </row>
    <row r="82" spans="1:17" s="32" customFormat="1" x14ac:dyDescent="0.15">
      <c r="A82" s="14" t="s">
        <v>126</v>
      </c>
      <c r="B82" s="44">
        <f>SUM(B78:B81)</f>
        <v>168777.88</v>
      </c>
      <c r="C82" s="44">
        <f>SUM(C78:C81)</f>
        <v>2970</v>
      </c>
      <c r="D82" s="44">
        <f t="shared" ref="D82:M82" si="20">SUM(D78:D81)</f>
        <v>142390.92000000001</v>
      </c>
      <c r="E82" s="44">
        <f t="shared" si="20"/>
        <v>26603.599999999999</v>
      </c>
      <c r="F82" s="44">
        <f t="shared" si="20"/>
        <v>33351</v>
      </c>
      <c r="G82" s="44">
        <f t="shared" si="20"/>
        <v>35295.120000000003</v>
      </c>
      <c r="H82" s="44">
        <f t="shared" si="20"/>
        <v>12579.2</v>
      </c>
      <c r="I82" s="44">
        <f>SUM(I80)</f>
        <v>3300</v>
      </c>
      <c r="J82" s="44">
        <f t="shared" si="20"/>
        <v>61675.65</v>
      </c>
      <c r="K82" s="44">
        <f t="shared" si="20"/>
        <v>113043.43999999999</v>
      </c>
      <c r="L82" s="44">
        <f t="shared" si="20"/>
        <v>102424.01</v>
      </c>
      <c r="M82" s="44">
        <f t="shared" si="20"/>
        <v>3300</v>
      </c>
      <c r="N82" s="44">
        <f>SUM(B82:M82)</f>
        <v>705710.82000000007</v>
      </c>
      <c r="O82" s="52">
        <v>830000</v>
      </c>
    </row>
    <row r="83" spans="1:17" s="32" customFormat="1" x14ac:dyDescent="0.15">
      <c r="A83" s="14"/>
      <c r="B83" s="71"/>
      <c r="C83" s="71"/>
      <c r="D83" s="24"/>
      <c r="E83" s="24"/>
      <c r="F83" s="46"/>
      <c r="G83" s="47"/>
      <c r="H83" s="47"/>
      <c r="I83" s="47"/>
      <c r="J83" s="47"/>
      <c r="K83" s="47"/>
      <c r="L83" s="47"/>
      <c r="M83" s="47"/>
      <c r="N83" s="47"/>
      <c r="O83" s="53"/>
      <c r="P83" s="16"/>
      <c r="Q83" s="16"/>
    </row>
    <row r="84" spans="1:17" s="15" customFormat="1" x14ac:dyDescent="0.15">
      <c r="A84" s="48" t="s">
        <v>109</v>
      </c>
      <c r="B84" s="44">
        <f>601241.76-B78</f>
        <v>434663.88</v>
      </c>
      <c r="C84" s="44">
        <v>414220.79999999999</v>
      </c>
      <c r="D84" s="44">
        <f>506745.12-D78</f>
        <v>364354.19999999995</v>
      </c>
      <c r="E84" s="44">
        <v>310000</v>
      </c>
      <c r="F84" s="35">
        <f>221867.64-F78</f>
        <v>197486.64</v>
      </c>
      <c r="G84" s="44">
        <f>268238.88-G78</f>
        <v>232943.76</v>
      </c>
      <c r="H84" s="44">
        <f>238848.96-H78</f>
        <v>228869.75999999998</v>
      </c>
      <c r="I84" s="44"/>
      <c r="J84" s="44">
        <f>267318.24-J78</f>
        <v>218486.59</v>
      </c>
      <c r="K84" s="44">
        <f>200000+72825.28-K78</f>
        <v>198180.88000000003</v>
      </c>
      <c r="L84" s="44">
        <f>282102.24-L78</f>
        <v>182378.22999999998</v>
      </c>
      <c r="M84" s="44">
        <f>359520+950.93</f>
        <v>360470.93</v>
      </c>
      <c r="N84" s="44">
        <f>SUM(B84:M84)</f>
        <v>3142055.67</v>
      </c>
      <c r="O84" s="52"/>
    </row>
    <row r="85" spans="1:17" x14ac:dyDescent="0.15">
      <c r="A85" s="48"/>
      <c r="B85" s="66"/>
      <c r="C85" s="66"/>
      <c r="D85" s="20"/>
      <c r="E85" s="20"/>
      <c r="F85" s="35"/>
      <c r="G85" s="44"/>
      <c r="H85" s="44"/>
      <c r="I85" s="44"/>
      <c r="J85" s="44"/>
      <c r="K85" s="44"/>
      <c r="L85" s="44"/>
      <c r="M85" s="44"/>
      <c r="N85" s="44"/>
      <c r="O85" s="52"/>
      <c r="P85" s="15"/>
      <c r="Q85" s="15"/>
    </row>
    <row r="86" spans="1:17" s="15" customFormat="1" x14ac:dyDescent="0.15">
      <c r="A86" s="33" t="s">
        <v>110</v>
      </c>
      <c r="B86" s="66"/>
      <c r="C86" s="66"/>
      <c r="D86" s="20"/>
      <c r="E86" s="20"/>
      <c r="F86" s="35"/>
      <c r="G86" s="44"/>
      <c r="H86" s="44"/>
      <c r="I86" s="44">
        <v>80000</v>
      </c>
      <c r="J86" s="44"/>
      <c r="K86" s="44">
        <v>60000</v>
      </c>
      <c r="L86" s="44">
        <v>40000</v>
      </c>
      <c r="M86" s="44"/>
      <c r="N86" s="44">
        <f>SUM(B86:M86)</f>
        <v>180000</v>
      </c>
      <c r="O86" s="52"/>
    </row>
    <row r="87" spans="1:17" s="15" customFormat="1" x14ac:dyDescent="0.15">
      <c r="A87" s="48"/>
      <c r="B87" s="66"/>
      <c r="C87" s="66"/>
      <c r="D87" s="20"/>
      <c r="E87" s="20"/>
      <c r="F87" s="35"/>
      <c r="G87" s="44"/>
      <c r="H87" s="44"/>
      <c r="I87" s="44"/>
      <c r="J87" s="44"/>
      <c r="K87" s="44"/>
      <c r="L87" s="44"/>
      <c r="M87" s="44"/>
      <c r="N87" s="44"/>
      <c r="O87" s="52"/>
    </row>
    <row r="88" spans="1:17" x14ac:dyDescent="0.15">
      <c r="A88" s="33" t="s">
        <v>108</v>
      </c>
      <c r="B88" s="66">
        <v>208000</v>
      </c>
      <c r="C88" s="66">
        <v>215000</v>
      </c>
      <c r="D88" s="20">
        <v>208500</v>
      </c>
      <c r="E88" s="20">
        <v>233405</v>
      </c>
      <c r="F88" s="35">
        <v>262000</v>
      </c>
      <c r="G88" s="44">
        <v>251700</v>
      </c>
      <c r="H88" s="44">
        <v>297110</v>
      </c>
      <c r="I88" s="44">
        <v>300000</v>
      </c>
      <c r="J88" s="44">
        <v>332400</v>
      </c>
      <c r="K88" s="44">
        <f>15000+10000+22400+30000+5000+7000+17000+90000+92017</f>
        <v>288417</v>
      </c>
      <c r="L88" s="44">
        <f>11000+20000+36400+18600+25000+50000+75000+28000+5000</f>
        <v>269000</v>
      </c>
      <c r="M88" s="44">
        <f>20000+30000+30000+40000+7400+27600+15000+90000+60000+20000+10000</f>
        <v>350000</v>
      </c>
      <c r="N88" s="44">
        <f>SUM(B88:M88)</f>
        <v>3215532</v>
      </c>
      <c r="O88" s="52"/>
      <c r="P88" s="32"/>
      <c r="Q88" s="32"/>
    </row>
    <row r="89" spans="1:17" x14ac:dyDescent="0.15">
      <c r="A89" s="48"/>
      <c r="B89" s="66"/>
      <c r="C89" s="66"/>
      <c r="D89" s="20"/>
      <c r="E89" s="20"/>
      <c r="F89" s="35"/>
      <c r="G89" s="44"/>
      <c r="H89" s="44"/>
      <c r="I89" s="44"/>
      <c r="J89" s="44"/>
      <c r="K89" s="44"/>
      <c r="L89" s="44"/>
      <c r="M89" s="44"/>
      <c r="N89" s="44"/>
      <c r="O89" s="52"/>
      <c r="P89" s="15"/>
      <c r="Q89" s="15"/>
    </row>
    <row r="90" spans="1:17" x14ac:dyDescent="0.15">
      <c r="A90" s="48"/>
      <c r="B90" s="66"/>
      <c r="C90" s="66"/>
      <c r="D90" s="20"/>
      <c r="E90" s="20"/>
      <c r="F90" s="35"/>
      <c r="G90" s="44"/>
      <c r="H90" s="44"/>
      <c r="I90" s="44"/>
      <c r="J90" s="44"/>
      <c r="K90" s="44"/>
      <c r="L90" s="44"/>
      <c r="M90" s="44"/>
      <c r="N90" s="44"/>
      <c r="O90" s="52"/>
      <c r="P90" s="15"/>
      <c r="Q90" s="15"/>
    </row>
    <row r="91" spans="1:17" x14ac:dyDescent="0.15">
      <c r="A91"/>
      <c r="B91"/>
      <c r="C91"/>
      <c r="D91"/>
      <c r="E91"/>
      <c r="F91" s="25"/>
      <c r="G91" s="25"/>
      <c r="H91" s="25"/>
      <c r="I91" s="25"/>
      <c r="J91" s="25"/>
      <c r="K91" s="25"/>
      <c r="L91" s="25"/>
      <c r="M91" s="25"/>
      <c r="N91" s="25"/>
      <c r="O91" s="49"/>
      <c r="P91"/>
      <c r="Q91"/>
    </row>
    <row r="92" spans="1:17" x14ac:dyDescent="0.15">
      <c r="A92"/>
      <c r="B92"/>
      <c r="C92"/>
      <c r="D92"/>
      <c r="E92"/>
      <c r="F92" s="25"/>
      <c r="G92" s="25"/>
      <c r="H92" s="25"/>
      <c r="I92" s="25"/>
      <c r="J92" s="25"/>
      <c r="K92" s="25"/>
      <c r="L92" s="25"/>
      <c r="M92" s="25"/>
      <c r="N92" s="25"/>
      <c r="O92" s="49"/>
      <c r="P92"/>
      <c r="Q92"/>
    </row>
    <row r="93" spans="1:17" x14ac:dyDescent="0.15">
      <c r="A93"/>
      <c r="B93"/>
      <c r="C93"/>
      <c r="D93"/>
      <c r="E93"/>
      <c r="F93" s="25"/>
      <c r="G93" s="25"/>
      <c r="H93" s="25"/>
      <c r="I93" s="25"/>
      <c r="J93" s="25"/>
      <c r="K93" s="25"/>
      <c r="L93" s="25"/>
      <c r="M93" s="25"/>
      <c r="N93" s="25"/>
      <c r="O93" s="49"/>
      <c r="P93"/>
      <c r="Q93"/>
    </row>
    <row r="94" spans="1:17" x14ac:dyDescent="0.15">
      <c r="A94"/>
      <c r="B94"/>
      <c r="C94"/>
      <c r="D94"/>
      <c r="E94"/>
      <c r="F94" s="25"/>
      <c r="G94" s="25"/>
      <c r="H94" s="25"/>
      <c r="I94" s="25"/>
      <c r="J94" s="25"/>
      <c r="K94" s="25"/>
      <c r="L94" s="25"/>
      <c r="M94" s="25"/>
      <c r="N94" s="25"/>
      <c r="O94" s="49"/>
      <c r="P94"/>
      <c r="Q94"/>
    </row>
    <row r="95" spans="1:17" x14ac:dyDescent="0.15">
      <c r="A95"/>
      <c r="B95"/>
      <c r="C95"/>
      <c r="D95"/>
      <c r="E95"/>
      <c r="F95" s="25"/>
      <c r="G95" s="25"/>
      <c r="H95" s="25"/>
      <c r="I95" s="25"/>
      <c r="J95" s="25"/>
      <c r="K95" s="25"/>
      <c r="L95" s="25"/>
      <c r="M95" s="25"/>
      <c r="N95" s="25"/>
      <c r="O95" s="49"/>
      <c r="P95"/>
      <c r="Q95"/>
    </row>
    <row r="96" spans="1:17" x14ac:dyDescent="0.15">
      <c r="A96"/>
      <c r="B96"/>
      <c r="C96"/>
      <c r="D96"/>
      <c r="E96"/>
      <c r="F96" s="25"/>
      <c r="G96" s="25"/>
      <c r="H96" s="25"/>
      <c r="I96" s="25"/>
      <c r="J96" s="25"/>
      <c r="K96" s="25"/>
      <c r="L96" s="25"/>
      <c r="M96" s="25"/>
      <c r="N96" s="25"/>
      <c r="O96" s="49"/>
      <c r="P96"/>
      <c r="Q96"/>
    </row>
  </sheetData>
  <phoneticPr fontId="10" type="noConversion"/>
  <pageMargins left="0.7" right="0.7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84"/>
  <sheetViews>
    <sheetView workbookViewId="0">
      <selection activeCell="P13" sqref="P13"/>
    </sheetView>
  </sheetViews>
  <sheetFormatPr defaultRowHeight="12.75" x14ac:dyDescent="0.15"/>
  <cols>
    <col min="1" max="1" width="67.01953125" customWidth="1"/>
    <col min="2" max="5" width="8.8984375" style="75" customWidth="1"/>
    <col min="6" max="8" width="8.8984375" style="76" customWidth="1"/>
    <col min="9" max="10" width="8.8984375" style="77" customWidth="1"/>
    <col min="11" max="12" width="8.8984375" style="76" customWidth="1"/>
    <col min="13" max="13" width="9.70703125" style="76" customWidth="1"/>
    <col min="14" max="14" width="13.6171875" style="78" customWidth="1"/>
  </cols>
  <sheetData>
    <row r="2" spans="1:14" x14ac:dyDescent="0.15">
      <c r="A2" s="2"/>
      <c r="B2" s="79" t="s">
        <v>28</v>
      </c>
      <c r="C2" s="79" t="s">
        <v>29</v>
      </c>
      <c r="D2" s="79" t="s">
        <v>30</v>
      </c>
      <c r="E2" s="79" t="s">
        <v>31</v>
      </c>
      <c r="F2" s="80" t="s">
        <v>32</v>
      </c>
      <c r="G2" s="80" t="s">
        <v>33</v>
      </c>
      <c r="H2" s="80" t="s">
        <v>34</v>
      </c>
      <c r="I2" s="81" t="s">
        <v>35</v>
      </c>
      <c r="J2" s="81" t="s">
        <v>36</v>
      </c>
      <c r="K2" s="80" t="s">
        <v>37</v>
      </c>
      <c r="L2" s="80" t="s">
        <v>128</v>
      </c>
      <c r="M2" s="80" t="s">
        <v>39</v>
      </c>
      <c r="N2" s="82" t="s">
        <v>40</v>
      </c>
    </row>
    <row r="3" spans="1:14" x14ac:dyDescent="0.15">
      <c r="A3" s="27" t="s">
        <v>42</v>
      </c>
      <c r="B3" s="83"/>
      <c r="C3" s="83"/>
      <c r="D3" s="83"/>
      <c r="E3" s="83"/>
      <c r="F3" s="84"/>
      <c r="G3" s="84"/>
      <c r="H3" s="84"/>
      <c r="I3" s="85"/>
      <c r="J3" s="85"/>
      <c r="K3" s="84"/>
      <c r="L3" s="84"/>
      <c r="M3" s="84"/>
      <c r="N3" s="68"/>
    </row>
    <row r="4" spans="1:14" x14ac:dyDescent="0.15">
      <c r="A4" s="27"/>
      <c r="B4" s="83"/>
      <c r="C4" s="83"/>
      <c r="D4" s="83"/>
      <c r="E4" s="83"/>
      <c r="F4" s="84"/>
      <c r="G4" s="84"/>
      <c r="H4" s="84"/>
      <c r="I4" s="85"/>
      <c r="J4" s="85"/>
      <c r="K4" s="84"/>
      <c r="L4" s="84"/>
      <c r="M4" s="84"/>
      <c r="N4" s="68"/>
    </row>
    <row r="5" spans="1:14" x14ac:dyDescent="0.15">
      <c r="A5" s="3" t="s">
        <v>107</v>
      </c>
      <c r="B5" s="86">
        <v>208000</v>
      </c>
      <c r="C5" s="86">
        <v>215000</v>
      </c>
      <c r="D5" s="86">
        <v>208500</v>
      </c>
      <c r="E5" s="86">
        <v>233405</v>
      </c>
      <c r="F5" s="86">
        <v>262000</v>
      </c>
      <c r="G5" s="86">
        <v>251700</v>
      </c>
      <c r="H5" s="86">
        <v>297110</v>
      </c>
      <c r="I5" s="86">
        <v>300000</v>
      </c>
      <c r="J5" s="86">
        <v>332400</v>
      </c>
      <c r="K5" s="86">
        <v>288417</v>
      </c>
      <c r="L5" s="86">
        <v>269000</v>
      </c>
      <c r="M5" s="86">
        <v>350000</v>
      </c>
      <c r="N5" s="68">
        <f>SUM(B5:M5)</f>
        <v>3215532</v>
      </c>
    </row>
    <row r="6" spans="1:14" x14ac:dyDescent="0.15">
      <c r="A6" s="28"/>
      <c r="B6" s="87"/>
      <c r="C6" s="87"/>
      <c r="D6" s="87"/>
      <c r="E6" s="87"/>
      <c r="F6" s="87"/>
      <c r="G6" s="88"/>
      <c r="H6" s="88"/>
      <c r="I6" s="89"/>
      <c r="J6" s="89"/>
      <c r="K6" s="88"/>
      <c r="L6" s="88"/>
      <c r="M6" s="88"/>
      <c r="N6" s="68"/>
    </row>
    <row r="7" spans="1:14" s="30" customFormat="1" x14ac:dyDescent="0.15">
      <c r="A7" s="17" t="s">
        <v>75</v>
      </c>
      <c r="B7" s="83">
        <f t="shared" ref="B7:M7" si="0">B5-B41</f>
        <v>-13818.109999999986</v>
      </c>
      <c r="C7" s="83">
        <f t="shared" si="0"/>
        <v>13347</v>
      </c>
      <c r="D7" s="83">
        <f t="shared" si="0"/>
        <v>-3438</v>
      </c>
      <c r="E7" s="83">
        <f t="shared" si="0"/>
        <v>30987.350000000006</v>
      </c>
      <c r="F7" s="83">
        <f t="shared" si="0"/>
        <v>-15268</v>
      </c>
      <c r="G7" s="83">
        <f t="shared" si="0"/>
        <v>-8232</v>
      </c>
      <c r="H7" s="83">
        <f t="shared" si="0"/>
        <v>739</v>
      </c>
      <c r="I7" s="83">
        <f t="shared" si="0"/>
        <v>-3414</v>
      </c>
      <c r="J7" s="83">
        <f t="shared" si="0"/>
        <v>-728</v>
      </c>
      <c r="K7" s="83">
        <f t="shared" si="0"/>
        <v>339.61999999999534</v>
      </c>
      <c r="L7" s="83">
        <f t="shared" si="0"/>
        <v>5637.0499999999884</v>
      </c>
      <c r="M7" s="83">
        <f t="shared" si="0"/>
        <v>-12823.530000000028</v>
      </c>
      <c r="N7" s="68">
        <f t="shared" ref="N7:N41" si="1">SUM(B7:M7)</f>
        <v>-6671.6200000000244</v>
      </c>
    </row>
    <row r="8" spans="1:14" s="15" customFormat="1" x14ac:dyDescent="0.15">
      <c r="A8" s="17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68"/>
    </row>
    <row r="9" spans="1:14" hidden="1" x14ac:dyDescent="0.15">
      <c r="A9" s="17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68">
        <f t="shared" si="1"/>
        <v>0</v>
      </c>
    </row>
    <row r="10" spans="1:14" hidden="1" x14ac:dyDescent="0.15">
      <c r="A10" s="17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68">
        <f t="shared" si="1"/>
        <v>0</v>
      </c>
    </row>
    <row r="11" spans="1:14" s="16" customFormat="1" hidden="1" x14ac:dyDescent="0.15">
      <c r="A11" s="17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68">
        <f t="shared" si="1"/>
        <v>0</v>
      </c>
    </row>
    <row r="12" spans="1:14" s="16" customFormat="1" x14ac:dyDescent="0.15">
      <c r="A12" s="17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68"/>
    </row>
    <row r="13" spans="1:14" s="16" customFormat="1" x14ac:dyDescent="0.15">
      <c r="A13" s="17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68"/>
    </row>
    <row r="14" spans="1:14" s="16" customFormat="1" hidden="1" x14ac:dyDescent="0.15">
      <c r="A14" s="17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68"/>
    </row>
    <row r="15" spans="1:14" s="16" customFormat="1" hidden="1" x14ac:dyDescent="0.15">
      <c r="A15" s="17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68"/>
    </row>
    <row r="16" spans="1:14" s="16" customFormat="1" hidden="1" x14ac:dyDescent="0.15">
      <c r="A16" s="17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68"/>
    </row>
    <row r="17" spans="1:14" s="16" customFormat="1" hidden="1" x14ac:dyDescent="0.15">
      <c r="A17" s="17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68"/>
    </row>
    <row r="18" spans="1:14" s="16" customFormat="1" hidden="1" x14ac:dyDescent="0.15">
      <c r="A18" s="17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68"/>
    </row>
    <row r="19" spans="1:14" s="16" customFormat="1" hidden="1" x14ac:dyDescent="0.15">
      <c r="A19" s="17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68"/>
    </row>
    <row r="20" spans="1:14" s="16" customFormat="1" hidden="1" x14ac:dyDescent="0.15">
      <c r="A20" s="17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68">
        <f t="shared" si="1"/>
        <v>0</v>
      </c>
    </row>
    <row r="21" spans="1:14" s="16" customFormat="1" hidden="1" x14ac:dyDescent="0.15">
      <c r="A21" s="17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68">
        <f t="shared" si="1"/>
        <v>0</v>
      </c>
    </row>
    <row r="22" spans="1:14" s="16" customFormat="1" hidden="1" x14ac:dyDescent="0.15">
      <c r="A22" s="17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68">
        <f t="shared" si="1"/>
        <v>0</v>
      </c>
    </row>
    <row r="23" spans="1:14" s="16" customFormat="1" hidden="1" x14ac:dyDescent="0.15">
      <c r="A23" s="17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68">
        <f t="shared" si="1"/>
        <v>0</v>
      </c>
    </row>
    <row r="24" spans="1:14" s="16" customFormat="1" hidden="1" x14ac:dyDescent="0.15">
      <c r="A24" s="17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68">
        <f t="shared" si="1"/>
        <v>0</v>
      </c>
    </row>
    <row r="25" spans="1:14" s="16" customFormat="1" hidden="1" x14ac:dyDescent="0.15">
      <c r="A25" s="17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68">
        <f t="shared" si="1"/>
        <v>0</v>
      </c>
    </row>
    <row r="26" spans="1:14" s="16" customFormat="1" hidden="1" x14ac:dyDescent="0.15">
      <c r="A26" s="17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68">
        <f t="shared" si="1"/>
        <v>0</v>
      </c>
    </row>
    <row r="27" spans="1:14" s="32" customFormat="1" hidden="1" x14ac:dyDescent="0.15">
      <c r="A27" s="17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68">
        <f t="shared" si="1"/>
        <v>0</v>
      </c>
    </row>
    <row r="28" spans="1:14" s="32" customFormat="1" hidden="1" x14ac:dyDescent="0.15">
      <c r="A28" s="17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68">
        <f t="shared" si="1"/>
        <v>0</v>
      </c>
    </row>
    <row r="29" spans="1:14" s="16" customFormat="1" hidden="1" x14ac:dyDescent="0.15">
      <c r="A29" s="17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68">
        <f t="shared" si="1"/>
        <v>0</v>
      </c>
    </row>
    <row r="30" spans="1:14" s="16" customFormat="1" hidden="1" x14ac:dyDescent="0.15">
      <c r="A30" s="17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68">
        <f t="shared" si="1"/>
        <v>0</v>
      </c>
    </row>
    <row r="31" spans="1:14" s="16" customFormat="1" hidden="1" x14ac:dyDescent="0.15">
      <c r="A31" s="17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68">
        <f t="shared" si="1"/>
        <v>0</v>
      </c>
    </row>
    <row r="32" spans="1:14" s="16" customFormat="1" hidden="1" x14ac:dyDescent="0.15">
      <c r="A32" s="17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68">
        <f t="shared" si="1"/>
        <v>0</v>
      </c>
    </row>
    <row r="33" spans="1:14" s="32" customFormat="1" hidden="1" x14ac:dyDescent="0.15">
      <c r="A33" s="17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68">
        <f t="shared" si="1"/>
        <v>0</v>
      </c>
    </row>
    <row r="34" spans="1:14" s="32" customFormat="1" hidden="1" x14ac:dyDescent="0.15">
      <c r="A34" s="17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68">
        <f t="shared" si="1"/>
        <v>0</v>
      </c>
    </row>
    <row r="35" spans="1:14" s="16" customFormat="1" hidden="1" x14ac:dyDescent="0.15">
      <c r="A35" s="17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68">
        <f t="shared" si="1"/>
        <v>0</v>
      </c>
    </row>
    <row r="36" spans="1:14" s="16" customFormat="1" hidden="1" x14ac:dyDescent="0.15">
      <c r="A36" s="17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68">
        <f t="shared" si="1"/>
        <v>0</v>
      </c>
    </row>
    <row r="37" spans="1:14" s="16" customFormat="1" hidden="1" x14ac:dyDescent="0.15">
      <c r="A37" s="17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68">
        <f t="shared" si="1"/>
        <v>0</v>
      </c>
    </row>
    <row r="38" spans="1:14" s="16" customFormat="1" hidden="1" x14ac:dyDescent="0.15">
      <c r="A38" s="17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68">
        <f t="shared" si="1"/>
        <v>0</v>
      </c>
    </row>
    <row r="39" spans="1:14" s="32" customFormat="1" hidden="1" x14ac:dyDescent="0.15">
      <c r="A39" s="28"/>
      <c r="B39" s="87"/>
      <c r="C39" s="87"/>
      <c r="D39" s="87"/>
      <c r="E39" s="87"/>
      <c r="F39" s="88"/>
      <c r="G39" s="88"/>
      <c r="H39" s="88"/>
      <c r="I39" s="89"/>
      <c r="J39" s="89"/>
      <c r="K39" s="88"/>
      <c r="L39" s="88"/>
      <c r="M39" s="88"/>
      <c r="N39" s="68">
        <f t="shared" si="1"/>
        <v>0</v>
      </c>
    </row>
    <row r="40" spans="1:14" s="32" customFormat="1" hidden="1" x14ac:dyDescent="0.15">
      <c r="A40" s="28"/>
      <c r="B40" s="87"/>
      <c r="C40" s="87"/>
      <c r="D40" s="87"/>
      <c r="E40" s="87"/>
      <c r="F40" s="88"/>
      <c r="G40" s="88"/>
      <c r="H40" s="88"/>
      <c r="I40" s="89"/>
      <c r="J40" s="89"/>
      <c r="K40" s="88"/>
      <c r="L40" s="88"/>
      <c r="M40" s="88"/>
      <c r="N40" s="68">
        <f t="shared" si="1"/>
        <v>0</v>
      </c>
    </row>
    <row r="41" spans="1:14" s="16" customFormat="1" x14ac:dyDescent="0.15">
      <c r="A41" s="27" t="s">
        <v>45</v>
      </c>
      <c r="B41" s="90">
        <f t="shared" ref="B41:M41" si="2">SUM(B52+B59+B66+B72+B82)</f>
        <v>221818.11</v>
      </c>
      <c r="C41" s="90">
        <f t="shared" si="2"/>
        <v>201653</v>
      </c>
      <c r="D41" s="90">
        <f t="shared" si="2"/>
        <v>211938</v>
      </c>
      <c r="E41" s="90">
        <f t="shared" si="2"/>
        <v>202417.65</v>
      </c>
      <c r="F41" s="90">
        <f t="shared" si="2"/>
        <v>277268</v>
      </c>
      <c r="G41" s="90">
        <f t="shared" si="2"/>
        <v>259932</v>
      </c>
      <c r="H41" s="90">
        <f t="shared" si="2"/>
        <v>296371</v>
      </c>
      <c r="I41" s="90">
        <f t="shared" si="2"/>
        <v>303414</v>
      </c>
      <c r="J41" s="90">
        <f t="shared" si="2"/>
        <v>333128</v>
      </c>
      <c r="K41" s="90">
        <f t="shared" si="2"/>
        <v>288077.38</v>
      </c>
      <c r="L41" s="90">
        <f t="shared" si="2"/>
        <v>263362.95</v>
      </c>
      <c r="M41" s="84">
        <f t="shared" si="2"/>
        <v>362823.53</v>
      </c>
      <c r="N41" s="68">
        <f t="shared" si="1"/>
        <v>3222203.62</v>
      </c>
    </row>
    <row r="42" spans="1:14" s="16" customFormat="1" x14ac:dyDescent="0.15">
      <c r="A42" s="3" t="s">
        <v>46</v>
      </c>
      <c r="B42" s="91"/>
      <c r="C42" s="91"/>
      <c r="D42" s="91"/>
      <c r="E42" s="91"/>
      <c r="F42" s="90"/>
      <c r="G42" s="90"/>
      <c r="H42" s="90"/>
      <c r="I42" s="92"/>
      <c r="J42" s="92"/>
      <c r="K42" s="90"/>
      <c r="L42" s="90"/>
      <c r="M42" s="84"/>
      <c r="N42" s="68"/>
    </row>
    <row r="43" spans="1:14" s="16" customFormat="1" ht="21.75" x14ac:dyDescent="0.15">
      <c r="A43" s="31" t="s">
        <v>47</v>
      </c>
      <c r="B43" s="93"/>
      <c r="C43" s="93"/>
      <c r="D43" s="93"/>
      <c r="E43" s="93"/>
      <c r="F43" s="94"/>
      <c r="G43" s="94"/>
      <c r="H43" s="94"/>
      <c r="I43" s="95">
        <v>1070</v>
      </c>
      <c r="J43" s="95"/>
      <c r="K43" s="94"/>
      <c r="L43" s="94"/>
      <c r="M43" s="96"/>
      <c r="N43" s="69"/>
    </row>
    <row r="44" spans="1:14" s="32" customFormat="1" ht="21.75" x14ac:dyDescent="0.15">
      <c r="A44" s="31" t="s">
        <v>48</v>
      </c>
      <c r="B44" s="93">
        <f>1038.97+531.79</f>
        <v>1570.76</v>
      </c>
      <c r="C44" s="93">
        <f>314+518</f>
        <v>832</v>
      </c>
      <c r="D44" s="93">
        <f>535+515+514+511</f>
        <v>2075</v>
      </c>
      <c r="E44" s="93">
        <f>506+744+524+261</f>
        <v>2035</v>
      </c>
      <c r="F44" s="94">
        <f>526+566+588+194+540+4601+1112</f>
        <v>8127</v>
      </c>
      <c r="G44" s="94">
        <f>545+567+1354+538+511+1077+411+1056</f>
        <v>6059</v>
      </c>
      <c r="H44" s="94">
        <f>1051+1300+601+1051+1051</f>
        <v>5054</v>
      </c>
      <c r="I44" s="95">
        <f>1411+2421+498+1819</f>
        <v>6149</v>
      </c>
      <c r="J44" s="95">
        <f>529+523+1177+2028+523+829+544+1196+1090</f>
        <v>8439</v>
      </c>
      <c r="K44" s="94">
        <f>1891.76+1043.25+289.97+1043.25+251.45+1086+1273.3+330.63+1056+570</f>
        <v>8835.61</v>
      </c>
      <c r="L44" s="94">
        <f>584+548.91+521.95+149.8+1167.37+661.26+26750+974.77</f>
        <v>31358.06</v>
      </c>
      <c r="M44" s="96">
        <f>30364.03+3517.09+337.05+1032.55</f>
        <v>35250.720000000001</v>
      </c>
      <c r="N44" s="69"/>
    </row>
    <row r="45" spans="1:14" s="32" customFormat="1" x14ac:dyDescent="0.15">
      <c r="A45" s="6" t="s">
        <v>49</v>
      </c>
      <c r="B45" s="93"/>
      <c r="C45" s="93">
        <f>929+423+1011+1775+186+51</f>
        <v>4375</v>
      </c>
      <c r="D45" s="93">
        <f>2675+430</f>
        <v>3105</v>
      </c>
      <c r="E45" s="93">
        <v>963</v>
      </c>
      <c r="F45" s="94">
        <f>1378+7178+334+2847+559+9630</f>
        <v>21926</v>
      </c>
      <c r="G45" s="94">
        <f>3210+3512+321</f>
        <v>7043</v>
      </c>
      <c r="H45" s="94">
        <f>2876+2125+745+1734</f>
        <v>7480</v>
      </c>
      <c r="I45" s="95">
        <v>5350</v>
      </c>
      <c r="J45" s="95">
        <f>21400+5238+171+45+803+41+222+321+8474</f>
        <v>36715</v>
      </c>
      <c r="K45" s="94">
        <f>6240+5113.53+449.4+803.57+6420+232.19+18190+530</f>
        <v>37978.69</v>
      </c>
      <c r="L45" s="94">
        <f>8025+2302.64</f>
        <v>10327.64</v>
      </c>
      <c r="M45" s="96">
        <v>10700</v>
      </c>
      <c r="N45" s="69"/>
    </row>
    <row r="46" spans="1:14" s="16" customFormat="1" x14ac:dyDescent="0.15">
      <c r="A46" s="6" t="s">
        <v>50</v>
      </c>
      <c r="B46" s="93"/>
      <c r="C46" s="93"/>
      <c r="D46" s="93">
        <v>289</v>
      </c>
      <c r="E46" s="93">
        <v>200</v>
      </c>
      <c r="F46" s="94">
        <f>3210</f>
        <v>3210</v>
      </c>
      <c r="G46" s="94">
        <f>920+413+7651</f>
        <v>8984</v>
      </c>
      <c r="H46" s="94">
        <f>2187</f>
        <v>2187</v>
      </c>
      <c r="I46" s="95">
        <f>318+1149</f>
        <v>1467</v>
      </c>
      <c r="J46" s="95"/>
      <c r="K46" s="94">
        <f>600.27+7123</f>
        <v>7723.27</v>
      </c>
      <c r="L46" s="94"/>
      <c r="M46" s="96"/>
      <c r="N46" s="69"/>
    </row>
    <row r="47" spans="1:14" s="16" customFormat="1" x14ac:dyDescent="0.15">
      <c r="A47" s="6" t="s">
        <v>51</v>
      </c>
      <c r="B47" s="93"/>
      <c r="C47" s="93"/>
      <c r="D47" s="93"/>
      <c r="E47" s="93">
        <v>251</v>
      </c>
      <c r="F47" s="94">
        <f>2013+10304+6177+2140+1315</f>
        <v>21949</v>
      </c>
      <c r="G47" s="94">
        <f>774+3338</f>
        <v>4112</v>
      </c>
      <c r="H47" s="94">
        <v>9052</v>
      </c>
      <c r="I47" s="95"/>
      <c r="J47" s="95">
        <f>1605+6676</f>
        <v>8281</v>
      </c>
      <c r="K47" s="94"/>
      <c r="L47" s="94"/>
      <c r="M47" s="96">
        <v>2770.23</v>
      </c>
      <c r="N47" s="69"/>
    </row>
    <row r="48" spans="1:14" s="16" customFormat="1" x14ac:dyDescent="0.15">
      <c r="A48" s="6" t="s">
        <v>52</v>
      </c>
      <c r="B48" s="93">
        <f>15515+72225</f>
        <v>87740</v>
      </c>
      <c r="C48" s="93">
        <f>18190+73295</f>
        <v>91485</v>
      </c>
      <c r="D48" s="93">
        <f>17976+79180</f>
        <v>97156</v>
      </c>
      <c r="E48" s="93">
        <f>20972+80143</f>
        <v>101115</v>
      </c>
      <c r="F48" s="94">
        <f>108284+3702</f>
        <v>111986</v>
      </c>
      <c r="G48" s="94">
        <f>104539+3702</f>
        <v>108241</v>
      </c>
      <c r="H48" s="94">
        <f>111708+3702</f>
        <v>115410</v>
      </c>
      <c r="I48" s="95">
        <f>112350+3702</f>
        <v>116052</v>
      </c>
      <c r="J48" s="95">
        <f>110798+3702</f>
        <v>114500</v>
      </c>
      <c r="K48" s="94">
        <v>110327</v>
      </c>
      <c r="L48" s="94">
        <f>105823+3702.2</f>
        <v>109525.2</v>
      </c>
      <c r="M48" s="96">
        <f>3702+7490+104753</f>
        <v>115945</v>
      </c>
      <c r="N48" s="69"/>
    </row>
    <row r="49" spans="1:14" s="16" customFormat="1" x14ac:dyDescent="0.15">
      <c r="A49" s="6" t="s">
        <v>53</v>
      </c>
      <c r="B49" s="93"/>
      <c r="C49" s="93"/>
      <c r="D49" s="93"/>
      <c r="E49" s="93"/>
      <c r="F49" s="94"/>
      <c r="G49" s="94"/>
      <c r="H49" s="94"/>
      <c r="I49" s="95">
        <f>16050+21400</f>
        <v>37450</v>
      </c>
      <c r="J49" s="95">
        <f>2137+21400</f>
        <v>23537</v>
      </c>
      <c r="K49" s="94"/>
      <c r="L49" s="94"/>
      <c r="M49" s="96"/>
      <c r="N49" s="69"/>
    </row>
    <row r="50" spans="1:14" s="32" customFormat="1" x14ac:dyDescent="0.15">
      <c r="A50" s="6" t="s">
        <v>54</v>
      </c>
      <c r="B50" s="93">
        <f>3210+3852+2140+3210+3852+2140+3210+3210+3210+1926+6420+2140+3210+2140+6420</f>
        <v>50290</v>
      </c>
      <c r="C50" s="93">
        <f>3210+3852+2140+3852+2140+2140</f>
        <v>17334</v>
      </c>
      <c r="D50" s="93">
        <f>3000</f>
        <v>3000</v>
      </c>
      <c r="E50" s="93"/>
      <c r="F50" s="94">
        <f>635</f>
        <v>635</v>
      </c>
      <c r="G50" s="94"/>
      <c r="H50" s="94"/>
      <c r="I50" s="95">
        <f>587+523+1074+1047+1060</f>
        <v>4291</v>
      </c>
      <c r="J50" s="95">
        <v>10700</v>
      </c>
      <c r="K50" s="94"/>
      <c r="L50" s="94">
        <f>1070+2675</f>
        <v>3745</v>
      </c>
      <c r="M50" s="96">
        <f>598.13+533.93+2675+3745+3210+3745+5350</f>
        <v>19857.059999999998</v>
      </c>
      <c r="N50" s="69"/>
    </row>
    <row r="51" spans="1:14" s="16" customFormat="1" x14ac:dyDescent="0.15">
      <c r="A51" s="6" t="s">
        <v>55</v>
      </c>
      <c r="B51" s="93">
        <f>856</f>
        <v>856</v>
      </c>
      <c r="C51" s="93">
        <v>3210</v>
      </c>
      <c r="D51" s="93"/>
      <c r="E51" s="93"/>
      <c r="F51" s="94"/>
      <c r="G51" s="94"/>
      <c r="H51" s="94"/>
      <c r="I51" s="95">
        <f>2449</f>
        <v>2449</v>
      </c>
      <c r="J51" s="95">
        <v>3210</v>
      </c>
      <c r="K51" s="94"/>
      <c r="L51" s="94"/>
      <c r="M51" s="96"/>
      <c r="N51" s="69"/>
    </row>
    <row r="52" spans="1:14" s="32" customFormat="1" x14ac:dyDescent="0.15">
      <c r="A52" s="14" t="s">
        <v>56</v>
      </c>
      <c r="B52" s="97">
        <f t="shared" ref="B52:G52" si="3">SUM(B43:B51)</f>
        <v>140456.76</v>
      </c>
      <c r="C52" s="97">
        <f t="shared" si="3"/>
        <v>117236</v>
      </c>
      <c r="D52" s="97">
        <f t="shared" si="3"/>
        <v>105625</v>
      </c>
      <c r="E52" s="97">
        <f t="shared" si="3"/>
        <v>104564</v>
      </c>
      <c r="F52" s="98">
        <f>SUM(F43:F51)</f>
        <v>167833</v>
      </c>
      <c r="G52" s="98">
        <f t="shared" si="3"/>
        <v>134439</v>
      </c>
      <c r="H52" s="98">
        <f t="shared" ref="H52:M52" si="4">SUM(H43:H51)</f>
        <v>139183</v>
      </c>
      <c r="I52" s="99">
        <f t="shared" si="4"/>
        <v>174278</v>
      </c>
      <c r="J52" s="99">
        <f t="shared" si="4"/>
        <v>205382</v>
      </c>
      <c r="K52" s="98">
        <f t="shared" si="4"/>
        <v>164864.57</v>
      </c>
      <c r="L52" s="98">
        <f t="shared" si="4"/>
        <v>154955.9</v>
      </c>
      <c r="M52" s="100">
        <f t="shared" si="4"/>
        <v>184523.01</v>
      </c>
      <c r="N52" s="70">
        <f>SUM(B52:M52)</f>
        <v>1793340.24</v>
      </c>
    </row>
    <row r="53" spans="1:14" s="16" customFormat="1" x14ac:dyDescent="0.15">
      <c r="A53" s="14"/>
      <c r="B53" s="97"/>
      <c r="C53" s="97"/>
      <c r="D53" s="97"/>
      <c r="E53" s="97"/>
      <c r="F53" s="98"/>
      <c r="G53" s="98"/>
      <c r="H53" s="98"/>
      <c r="I53" s="99"/>
      <c r="J53" s="99"/>
      <c r="K53" s="98"/>
      <c r="L53" s="98"/>
      <c r="M53" s="100"/>
      <c r="N53" s="70"/>
    </row>
    <row r="54" spans="1:14" s="15" customFormat="1" x14ac:dyDescent="0.15">
      <c r="A54" s="33" t="s">
        <v>57</v>
      </c>
      <c r="B54" s="97"/>
      <c r="C54" s="97"/>
      <c r="D54" s="97"/>
      <c r="E54" s="97"/>
      <c r="F54" s="98"/>
      <c r="G54" s="98"/>
      <c r="H54" s="98"/>
      <c r="I54" s="99"/>
      <c r="J54" s="99"/>
      <c r="K54" s="98"/>
      <c r="L54" s="98"/>
      <c r="M54" s="100"/>
      <c r="N54" s="70"/>
    </row>
    <row r="55" spans="1:14" ht="21.75" x14ac:dyDescent="0.15">
      <c r="A55" s="34" t="s">
        <v>58</v>
      </c>
      <c r="B55" s="93">
        <f>11770+2675+369.15+1160</f>
        <v>15974.15</v>
      </c>
      <c r="C55" s="93">
        <f>11770+1160</f>
        <v>12930</v>
      </c>
      <c r="D55" s="93">
        <f>11770+1070</f>
        <v>12840</v>
      </c>
      <c r="E55" s="93">
        <f>1070+11770</f>
        <v>12840</v>
      </c>
      <c r="F55" s="101">
        <f>1070+14980</f>
        <v>16050</v>
      </c>
      <c r="G55" s="94">
        <f>5029+1894+196+1070+14980</f>
        <v>23169</v>
      </c>
      <c r="H55" s="94">
        <f>36210+2662+334+315+124+1065+14980</f>
        <v>55690</v>
      </c>
      <c r="I55" s="95">
        <f>19260+1070</f>
        <v>20330</v>
      </c>
      <c r="J55" s="95">
        <f>10700+19260</f>
        <v>29960</v>
      </c>
      <c r="K55" s="94">
        <f>19260+2000</f>
        <v>21260</v>
      </c>
      <c r="L55" s="94">
        <f>19260+90.95+490.06</f>
        <v>19841.010000000002</v>
      </c>
      <c r="M55" s="96">
        <v>19260</v>
      </c>
      <c r="N55" s="69"/>
    </row>
    <row r="56" spans="1:14" s="15" customFormat="1" ht="21.75" x14ac:dyDescent="0.15">
      <c r="A56" s="34" t="s">
        <v>59</v>
      </c>
      <c r="B56" s="93">
        <f>11770</f>
        <v>11770</v>
      </c>
      <c r="C56" s="93">
        <v>11770</v>
      </c>
      <c r="D56" s="93">
        <v>11770</v>
      </c>
      <c r="E56" s="93">
        <f>314+11770</f>
        <v>12084</v>
      </c>
      <c r="F56" s="101">
        <f>1462+1284+19260</f>
        <v>22006</v>
      </c>
      <c r="G56" s="94">
        <v>19260</v>
      </c>
      <c r="H56" s="94">
        <v>19260</v>
      </c>
      <c r="I56" s="95">
        <f>19260+147+205+325</f>
        <v>19937</v>
      </c>
      <c r="J56" s="95">
        <v>19260</v>
      </c>
      <c r="K56" s="94">
        <f>19260</f>
        <v>19260</v>
      </c>
      <c r="L56" s="94">
        <f>19260</f>
        <v>19260</v>
      </c>
      <c r="M56" s="96">
        <v>19260</v>
      </c>
      <c r="N56" s="69"/>
    </row>
    <row r="57" spans="1:14" s="15" customFormat="1" ht="31.5" x14ac:dyDescent="0.15">
      <c r="A57" s="31" t="s">
        <v>60</v>
      </c>
      <c r="B57" s="93"/>
      <c r="C57" s="93"/>
      <c r="D57" s="93"/>
      <c r="E57" s="93"/>
      <c r="F57" s="101"/>
      <c r="G57" s="94"/>
      <c r="H57" s="94"/>
      <c r="I57" s="95"/>
      <c r="J57" s="95"/>
      <c r="K57" s="94"/>
      <c r="L57" s="94"/>
      <c r="M57" s="96"/>
      <c r="N57" s="69"/>
    </row>
    <row r="58" spans="1:14" x14ac:dyDescent="0.15">
      <c r="A58" s="6" t="s">
        <v>61</v>
      </c>
      <c r="B58" s="93"/>
      <c r="C58" s="93"/>
      <c r="D58" s="93"/>
      <c r="E58" s="93"/>
      <c r="F58" s="101"/>
      <c r="G58" s="94"/>
      <c r="H58" s="94"/>
      <c r="I58" s="95"/>
      <c r="J58" s="95"/>
      <c r="K58" s="94"/>
      <c r="L58" s="94"/>
      <c r="M58" s="96"/>
      <c r="N58" s="69"/>
    </row>
    <row r="59" spans="1:14" x14ac:dyDescent="0.15">
      <c r="A59" s="14" t="s">
        <v>62</v>
      </c>
      <c r="B59" s="97">
        <f t="shared" ref="B59:G59" si="5">SUM(B55:B58)</f>
        <v>27744.15</v>
      </c>
      <c r="C59" s="97">
        <f t="shared" si="5"/>
        <v>24700</v>
      </c>
      <c r="D59" s="97">
        <f t="shared" si="5"/>
        <v>24610</v>
      </c>
      <c r="E59" s="97">
        <f t="shared" si="5"/>
        <v>24924</v>
      </c>
      <c r="F59" s="90">
        <f>SUM(F55:F58)</f>
        <v>38056</v>
      </c>
      <c r="G59" s="98">
        <f t="shared" si="5"/>
        <v>42429</v>
      </c>
      <c r="H59" s="98">
        <f t="shared" ref="H59:M59" si="6">SUM(H55:H58)</f>
        <v>74950</v>
      </c>
      <c r="I59" s="99">
        <f t="shared" si="6"/>
        <v>40267</v>
      </c>
      <c r="J59" s="99">
        <f t="shared" si="6"/>
        <v>49220</v>
      </c>
      <c r="K59" s="98">
        <f t="shared" si="6"/>
        <v>40520</v>
      </c>
      <c r="L59" s="98">
        <f t="shared" si="6"/>
        <v>39101.01</v>
      </c>
      <c r="M59" s="100">
        <f t="shared" si="6"/>
        <v>38520</v>
      </c>
      <c r="N59" s="70">
        <f>SUM(B59:M59)</f>
        <v>465041.16000000003</v>
      </c>
    </row>
    <row r="60" spans="1:14" x14ac:dyDescent="0.15">
      <c r="A60" s="14"/>
      <c r="B60" s="97"/>
      <c r="C60" s="97"/>
      <c r="D60" s="97"/>
      <c r="E60" s="97"/>
      <c r="F60" s="90"/>
      <c r="G60" s="98"/>
      <c r="H60" s="98"/>
      <c r="I60" s="99"/>
      <c r="J60" s="99"/>
      <c r="K60" s="98"/>
      <c r="L60" s="98"/>
      <c r="M60" s="100"/>
      <c r="N60" s="70"/>
    </row>
    <row r="61" spans="1:14" x14ac:dyDescent="0.15">
      <c r="A61" s="33" t="s">
        <v>63</v>
      </c>
      <c r="B61" s="97"/>
      <c r="C61" s="97"/>
      <c r="D61" s="97"/>
      <c r="E61" s="97"/>
      <c r="F61" s="90"/>
      <c r="G61" s="98"/>
      <c r="H61" s="98"/>
      <c r="I61" s="99"/>
      <c r="J61" s="99"/>
      <c r="K61" s="98"/>
      <c r="L61" s="98"/>
      <c r="M61" s="100"/>
      <c r="N61" s="70"/>
    </row>
    <row r="62" spans="1:14" ht="21.75" x14ac:dyDescent="0.15">
      <c r="A62" s="31" t="s">
        <v>64</v>
      </c>
      <c r="B62" s="93">
        <f>19260+4280+16050</f>
        <v>39590</v>
      </c>
      <c r="C62" s="93">
        <f>19260+4280+16050</f>
        <v>39590</v>
      </c>
      <c r="D62" s="93">
        <f>19260+4280+16050</f>
        <v>39590</v>
      </c>
      <c r="E62" s="93">
        <v>39590</v>
      </c>
      <c r="F62" s="101">
        <v>47615</v>
      </c>
      <c r="G62" s="94">
        <v>47615</v>
      </c>
      <c r="H62" s="94">
        <v>47615</v>
      </c>
      <c r="I62" s="95">
        <v>47615</v>
      </c>
      <c r="J62" s="95">
        <v>47615</v>
      </c>
      <c r="K62" s="94">
        <f>47615</f>
        <v>47615</v>
      </c>
      <c r="L62" s="94">
        <v>47615</v>
      </c>
      <c r="M62" s="96">
        <f>4815+21400+21400</f>
        <v>47615</v>
      </c>
      <c r="N62" s="69"/>
    </row>
    <row r="63" spans="1:14" ht="21.75" x14ac:dyDescent="0.15">
      <c r="A63" s="31" t="s">
        <v>65</v>
      </c>
      <c r="B63" s="93">
        <f>107+107+545.7+321+909</f>
        <v>1989.7</v>
      </c>
      <c r="C63" s="93">
        <f>107+1048+535+107+428+428</f>
        <v>2653</v>
      </c>
      <c r="D63" s="93">
        <f>107+856+521+308+315+652+107+299+428</f>
        <v>3593</v>
      </c>
      <c r="E63" s="93">
        <f>107+422.65+202+4280+5243+535+1264+107+444</f>
        <v>12604.65</v>
      </c>
      <c r="F63" s="101">
        <f>107+749+107+1061+539</f>
        <v>2563</v>
      </c>
      <c r="G63" s="94">
        <f>107+1408+428+214+408+107</f>
        <v>2672</v>
      </c>
      <c r="H63" s="94">
        <f>106+106+426+213+106+222+106</f>
        <v>1285</v>
      </c>
      <c r="I63" s="95">
        <f>4280+239+107+449+214+566+11661+107+332</f>
        <v>17955</v>
      </c>
      <c r="J63" s="95">
        <f>107+2136+107+214+420+107</f>
        <v>3091</v>
      </c>
      <c r="K63" s="94">
        <f>1018.64+107+743.65+5457+107+481.5+214+107</f>
        <v>8235.7900000000009</v>
      </c>
      <c r="L63" s="94">
        <f>107+481.5+449.4+214+107+567.1+242.89+107</f>
        <v>2275.89</v>
      </c>
      <c r="M63" s="96">
        <f>107+107+3317+963+465.45+502.9+2171.03+214</f>
        <v>7847.3799999999992</v>
      </c>
      <c r="N63" s="69"/>
    </row>
    <row r="64" spans="1:14" x14ac:dyDescent="0.15">
      <c r="A64" s="6" t="s">
        <v>66</v>
      </c>
      <c r="B64" s="93"/>
      <c r="C64" s="93">
        <v>1605</v>
      </c>
      <c r="D64" s="93"/>
      <c r="E64" s="93"/>
      <c r="F64" s="101"/>
      <c r="G64" s="94"/>
      <c r="H64" s="94"/>
      <c r="I64" s="95"/>
      <c r="J64" s="95"/>
      <c r="K64" s="94"/>
      <c r="L64" s="94"/>
      <c r="M64" s="96"/>
      <c r="N64" s="69"/>
    </row>
    <row r="65" spans="1:14" x14ac:dyDescent="0.15">
      <c r="A65" s="6" t="s">
        <v>67</v>
      </c>
      <c r="B65" s="93"/>
      <c r="C65" s="93"/>
      <c r="D65" s="93">
        <f>26750</f>
        <v>26750</v>
      </c>
      <c r="E65" s="93"/>
      <c r="F65" s="101"/>
      <c r="G65" s="94"/>
      <c r="H65" s="94">
        <v>12780</v>
      </c>
      <c r="I65" s="95"/>
      <c r="J65" s="95">
        <v>8560</v>
      </c>
      <c r="K65" s="94"/>
      <c r="L65" s="94"/>
      <c r="M65" s="96">
        <v>20205.88</v>
      </c>
      <c r="N65" s="69"/>
    </row>
    <row r="66" spans="1:14" x14ac:dyDescent="0.15">
      <c r="A66" s="14" t="s">
        <v>68</v>
      </c>
      <c r="B66" s="97">
        <f t="shared" ref="B66:M66" si="7">SUM(B62:B65)</f>
        <v>41579.699999999997</v>
      </c>
      <c r="C66" s="97">
        <f t="shared" si="7"/>
        <v>43848</v>
      </c>
      <c r="D66" s="97">
        <f t="shared" si="7"/>
        <v>69933</v>
      </c>
      <c r="E66" s="97">
        <f t="shared" si="7"/>
        <v>52194.65</v>
      </c>
      <c r="F66" s="90">
        <f>SUM(F62:F65)</f>
        <v>50178</v>
      </c>
      <c r="G66" s="98">
        <f t="shared" si="7"/>
        <v>50287</v>
      </c>
      <c r="H66" s="98">
        <f t="shared" si="7"/>
        <v>61680</v>
      </c>
      <c r="I66" s="99">
        <f t="shared" si="7"/>
        <v>65570</v>
      </c>
      <c r="J66" s="99">
        <f t="shared" si="7"/>
        <v>59266</v>
      </c>
      <c r="K66" s="98">
        <f t="shared" si="7"/>
        <v>55850.79</v>
      </c>
      <c r="L66" s="98">
        <f t="shared" si="7"/>
        <v>49890.89</v>
      </c>
      <c r="M66" s="100">
        <f t="shared" si="7"/>
        <v>75668.259999999995</v>
      </c>
      <c r="N66" s="70">
        <f>SUM(B66:M66)</f>
        <v>675946.29</v>
      </c>
    </row>
    <row r="67" spans="1:14" x14ac:dyDescent="0.15">
      <c r="A67" s="14"/>
      <c r="B67" s="97"/>
      <c r="C67" s="97"/>
      <c r="D67" s="97"/>
      <c r="E67" s="97"/>
      <c r="F67" s="90"/>
      <c r="G67" s="98"/>
      <c r="H67" s="98"/>
      <c r="I67" s="99"/>
      <c r="J67" s="99"/>
      <c r="K67" s="98"/>
      <c r="L67" s="98"/>
      <c r="M67" s="100"/>
      <c r="N67" s="70"/>
    </row>
    <row r="68" spans="1:14" x14ac:dyDescent="0.15">
      <c r="A68" s="33" t="s">
        <v>69</v>
      </c>
      <c r="B68" s="97"/>
      <c r="C68" s="97"/>
      <c r="D68" s="97"/>
      <c r="E68" s="97"/>
      <c r="F68" s="90"/>
      <c r="G68" s="98"/>
      <c r="H68" s="98"/>
      <c r="I68" s="99"/>
      <c r="J68" s="99"/>
      <c r="K68" s="98"/>
      <c r="L68" s="98"/>
      <c r="M68" s="100"/>
      <c r="N68" s="70"/>
    </row>
    <row r="69" spans="1:14" x14ac:dyDescent="0.15">
      <c r="A69" s="6" t="s">
        <v>70</v>
      </c>
      <c r="B69" s="93"/>
      <c r="C69" s="93"/>
      <c r="D69" s="93"/>
      <c r="E69" s="93">
        <v>8560</v>
      </c>
      <c r="F69" s="101"/>
      <c r="G69" s="94"/>
      <c r="H69" s="94"/>
      <c r="I69" s="95"/>
      <c r="J69" s="95"/>
      <c r="K69" s="94"/>
      <c r="L69" s="94"/>
      <c r="M69" s="96"/>
      <c r="N69" s="69"/>
    </row>
    <row r="70" spans="1:14" x14ac:dyDescent="0.15">
      <c r="A70" s="6" t="s">
        <v>71</v>
      </c>
      <c r="B70" s="93"/>
      <c r="C70" s="93"/>
      <c r="D70" s="93"/>
      <c r="E70" s="93"/>
      <c r="F70" s="101"/>
      <c r="G70" s="94"/>
      <c r="H70" s="94"/>
      <c r="I70" s="95"/>
      <c r="J70" s="95"/>
      <c r="K70" s="94"/>
      <c r="L70" s="94"/>
      <c r="M70" s="96"/>
      <c r="N70" s="69"/>
    </row>
    <row r="71" spans="1:14" x14ac:dyDescent="0.15">
      <c r="A71" s="6" t="s">
        <v>72</v>
      </c>
      <c r="B71" s="93"/>
      <c r="C71" s="93"/>
      <c r="D71" s="93"/>
      <c r="E71" s="93"/>
      <c r="F71" s="101"/>
      <c r="G71" s="94"/>
      <c r="H71" s="94"/>
      <c r="I71" s="95"/>
      <c r="J71" s="95"/>
      <c r="K71" s="94"/>
      <c r="L71" s="94"/>
      <c r="M71" s="96">
        <v>26750</v>
      </c>
      <c r="N71" s="69"/>
    </row>
    <row r="72" spans="1:14" x14ac:dyDescent="0.15">
      <c r="A72" s="14" t="s">
        <v>73</v>
      </c>
      <c r="B72" s="97">
        <f t="shared" ref="B72:M72" si="8">SUM(B69:B71)</f>
        <v>0</v>
      </c>
      <c r="C72" s="97">
        <f t="shared" si="8"/>
        <v>0</v>
      </c>
      <c r="D72" s="97">
        <f t="shared" si="8"/>
        <v>0</v>
      </c>
      <c r="E72" s="97">
        <f t="shared" si="8"/>
        <v>8560</v>
      </c>
      <c r="F72" s="90">
        <f>SUM(F69:F71)</f>
        <v>0</v>
      </c>
      <c r="G72" s="98">
        <f t="shared" si="8"/>
        <v>0</v>
      </c>
      <c r="H72" s="98">
        <f t="shared" si="8"/>
        <v>0</v>
      </c>
      <c r="I72" s="99">
        <f t="shared" si="8"/>
        <v>0</v>
      </c>
      <c r="J72" s="99">
        <f t="shared" si="8"/>
        <v>0</v>
      </c>
      <c r="K72" s="98">
        <f t="shared" si="8"/>
        <v>0</v>
      </c>
      <c r="L72" s="98">
        <f t="shared" si="8"/>
        <v>0</v>
      </c>
      <c r="M72" s="100">
        <f t="shared" si="8"/>
        <v>26750</v>
      </c>
      <c r="N72" s="70">
        <f>SUM(B72:M72)</f>
        <v>35310</v>
      </c>
    </row>
    <row r="73" spans="1:14" x14ac:dyDescent="0.15">
      <c r="A73" s="14"/>
      <c r="B73" s="97"/>
      <c r="C73" s="97"/>
      <c r="D73" s="97"/>
      <c r="E73" s="97"/>
      <c r="F73" s="90"/>
      <c r="G73" s="98"/>
      <c r="H73" s="98"/>
      <c r="I73" s="99"/>
      <c r="J73" s="99"/>
      <c r="K73" s="98"/>
      <c r="L73" s="98"/>
      <c r="M73" s="100"/>
      <c r="N73" s="70"/>
    </row>
    <row r="74" spans="1:14" x14ac:dyDescent="0.15">
      <c r="A74" s="14"/>
      <c r="B74" s="97"/>
      <c r="C74" s="97"/>
      <c r="D74" s="97"/>
      <c r="E74" s="97"/>
      <c r="F74" s="90"/>
      <c r="G74" s="98"/>
      <c r="H74" s="98"/>
      <c r="I74" s="99"/>
      <c r="J74" s="99"/>
      <c r="K74" s="98"/>
      <c r="L74" s="98"/>
      <c r="M74" s="100"/>
      <c r="N74" s="70"/>
    </row>
    <row r="75" spans="1:14" x14ac:dyDescent="0.15">
      <c r="A75" s="14"/>
      <c r="B75" s="97"/>
      <c r="C75" s="97"/>
      <c r="D75" s="97"/>
      <c r="E75" s="97"/>
      <c r="F75" s="90"/>
      <c r="G75" s="98"/>
      <c r="H75" s="98"/>
      <c r="I75" s="99"/>
      <c r="J75" s="99"/>
      <c r="K75" s="98"/>
      <c r="L75" s="98"/>
      <c r="M75" s="100"/>
      <c r="N75" s="70"/>
    </row>
    <row r="76" spans="1:14" x14ac:dyDescent="0.15">
      <c r="A76" s="14"/>
      <c r="B76" s="97"/>
      <c r="C76" s="97"/>
      <c r="D76" s="97"/>
      <c r="E76" s="97"/>
      <c r="F76" s="90"/>
      <c r="G76" s="98"/>
      <c r="H76" s="98"/>
      <c r="I76" s="99"/>
      <c r="J76" s="99"/>
      <c r="K76" s="98"/>
      <c r="L76" s="98"/>
      <c r="M76" s="100"/>
      <c r="N76" s="70"/>
    </row>
    <row r="77" spans="1:14" x14ac:dyDescent="0.15">
      <c r="A77" s="33" t="s">
        <v>121</v>
      </c>
      <c r="B77" s="97"/>
      <c r="C77" s="97"/>
      <c r="D77" s="97"/>
      <c r="E77" s="97"/>
      <c r="F77" s="90"/>
      <c r="G77" s="98"/>
      <c r="H77" s="98"/>
      <c r="I77" s="99"/>
      <c r="J77" s="99"/>
      <c r="K77" s="98"/>
      <c r="L77" s="98"/>
      <c r="M77" s="100"/>
      <c r="N77" s="70"/>
    </row>
    <row r="78" spans="1:14" x14ac:dyDescent="0.15">
      <c r="A78" s="6" t="s">
        <v>122</v>
      </c>
      <c r="B78" s="93"/>
      <c r="C78" s="93"/>
      <c r="D78" s="93"/>
      <c r="E78" s="93"/>
      <c r="F78" s="101"/>
      <c r="G78" s="94"/>
      <c r="H78" s="94"/>
      <c r="I78" s="95">
        <f>3183+321+535</f>
        <v>4039</v>
      </c>
      <c r="J78" s="95"/>
      <c r="K78" s="94"/>
      <c r="L78" s="94"/>
      <c r="M78" s="96"/>
      <c r="N78" s="69"/>
    </row>
    <row r="79" spans="1:14" x14ac:dyDescent="0.15">
      <c r="A79" s="6" t="s">
        <v>129</v>
      </c>
      <c r="B79" s="93">
        <f>11770</f>
        <v>11770</v>
      </c>
      <c r="C79" s="93">
        <v>11770</v>
      </c>
      <c r="D79" s="93">
        <v>11770</v>
      </c>
      <c r="E79" s="93">
        <v>11770</v>
      </c>
      <c r="F79" s="101">
        <v>19260</v>
      </c>
      <c r="G79" s="94">
        <v>19260</v>
      </c>
      <c r="H79" s="94">
        <v>19260</v>
      </c>
      <c r="I79" s="95">
        <v>19260</v>
      </c>
      <c r="J79" s="95">
        <v>19260</v>
      </c>
      <c r="K79" s="94">
        <f>19260</f>
        <v>19260</v>
      </c>
      <c r="L79" s="94">
        <v>19260</v>
      </c>
      <c r="M79" s="96">
        <v>19260</v>
      </c>
      <c r="N79" s="69"/>
    </row>
    <row r="80" spans="1:14" x14ac:dyDescent="0.15">
      <c r="A80" s="6" t="s">
        <v>124</v>
      </c>
      <c r="B80" s="93">
        <v>267.5</v>
      </c>
      <c r="C80" s="93">
        <f>1906+214+1979</f>
        <v>4099</v>
      </c>
      <c r="D80" s="93"/>
      <c r="E80" s="93">
        <v>405</v>
      </c>
      <c r="F80" s="101">
        <f>68+493+148+970+262</f>
        <v>1941</v>
      </c>
      <c r="G80" s="94">
        <f>1630+6734+2300+770+1151+787+145</f>
        <v>13517</v>
      </c>
      <c r="H80" s="94">
        <f>1298</f>
        <v>1298</v>
      </c>
      <c r="I80" s="95"/>
      <c r="J80" s="95"/>
      <c r="K80" s="94">
        <f>3464.66+4117.36</f>
        <v>7582.0199999999995</v>
      </c>
      <c r="L80" s="94">
        <v>155.15</v>
      </c>
      <c r="M80" s="96">
        <f>3210+1926+2151.77+7614.12+3200.37</f>
        <v>18102.259999999998</v>
      </c>
      <c r="N80" s="69"/>
    </row>
    <row r="81" spans="1:14" x14ac:dyDescent="0.15">
      <c r="A81" s="6" t="s">
        <v>130</v>
      </c>
      <c r="B81" s="93"/>
      <c r="C81" s="93"/>
      <c r="D81" s="93"/>
      <c r="E81" s="93"/>
      <c r="F81" s="101"/>
      <c r="G81" s="94"/>
      <c r="H81" s="94"/>
      <c r="I81" s="95"/>
      <c r="J81" s="95"/>
      <c r="K81" s="94"/>
      <c r="L81" s="94"/>
      <c r="M81" s="96"/>
      <c r="N81" s="69"/>
    </row>
    <row r="82" spans="1:14" x14ac:dyDescent="0.15">
      <c r="A82" s="14" t="s">
        <v>126</v>
      </c>
      <c r="B82" s="97">
        <f>SUM(B78:B81)</f>
        <v>12037.5</v>
      </c>
      <c r="C82" s="97">
        <f>SUM(C78:C81)</f>
        <v>15869</v>
      </c>
      <c r="D82" s="97">
        <f>SUM(D78:D81)</f>
        <v>11770</v>
      </c>
      <c r="E82" s="97">
        <f>SUM(E78:E81)</f>
        <v>12175</v>
      </c>
      <c r="F82" s="90">
        <f>SUM(F78:F81)</f>
        <v>21201</v>
      </c>
      <c r="G82" s="98">
        <f t="shared" ref="G82:M82" si="9">SUM(G78:G81)</f>
        <v>32777</v>
      </c>
      <c r="H82" s="98">
        <f t="shared" si="9"/>
        <v>20558</v>
      </c>
      <c r="I82" s="99">
        <f t="shared" si="9"/>
        <v>23299</v>
      </c>
      <c r="J82" s="99">
        <f t="shared" si="9"/>
        <v>19260</v>
      </c>
      <c r="K82" s="98">
        <f t="shared" si="9"/>
        <v>26842.02</v>
      </c>
      <c r="L82" s="98">
        <f t="shared" si="9"/>
        <v>19415.150000000001</v>
      </c>
      <c r="M82" s="100">
        <f t="shared" si="9"/>
        <v>37362.259999999995</v>
      </c>
      <c r="N82" s="70">
        <f>SUM(B82:M82)</f>
        <v>252565.93</v>
      </c>
    </row>
    <row r="83" spans="1:14" x14ac:dyDescent="0.15">
      <c r="A83" s="14"/>
      <c r="B83" s="102"/>
      <c r="C83" s="102"/>
      <c r="D83" s="102"/>
      <c r="E83" s="102"/>
      <c r="F83" s="103"/>
      <c r="G83" s="96"/>
      <c r="H83" s="96"/>
      <c r="I83" s="104"/>
      <c r="J83" s="104"/>
      <c r="K83" s="96"/>
      <c r="L83" s="96"/>
      <c r="M83" s="96"/>
      <c r="N83" s="69"/>
    </row>
    <row r="84" spans="1:14" x14ac:dyDescent="0.15">
      <c r="A84" s="33"/>
      <c r="B84" s="86"/>
      <c r="C84" s="86"/>
      <c r="D84" s="86"/>
      <c r="E84" s="86"/>
      <c r="F84" s="100"/>
      <c r="G84" s="100"/>
      <c r="H84" s="100"/>
      <c r="I84" s="105"/>
      <c r="J84" s="105"/>
      <c r="K84" s="100"/>
      <c r="L84" s="100"/>
      <c r="M84" s="100"/>
      <c r="N84" s="70"/>
    </row>
  </sheetData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2"/>
  <sheetViews>
    <sheetView tabSelected="1" topLeftCell="B1" zoomScale="120" zoomScaleNormal="120" workbookViewId="0">
      <selection activeCell="M1" sqref="B1:M65536"/>
    </sheetView>
  </sheetViews>
  <sheetFormatPr defaultColWidth="8.8984375" defaultRowHeight="10.5" x14ac:dyDescent="0.1"/>
  <cols>
    <col min="1" max="1" width="54.75" style="121" customWidth="1"/>
    <col min="2" max="2" width="11.8671875" style="121" hidden="1" customWidth="1"/>
    <col min="3" max="3" width="11.73046875" style="121" hidden="1" customWidth="1"/>
    <col min="4" max="4" width="12.26953125" style="121" hidden="1" customWidth="1"/>
    <col min="5" max="5" width="11.4609375" style="121" hidden="1" customWidth="1"/>
    <col min="6" max="6" width="11.73046875" style="121" hidden="1" customWidth="1"/>
    <col min="7" max="7" width="12.26953125" style="121" hidden="1" customWidth="1"/>
    <col min="8" max="8" width="11.8671875" style="121" hidden="1" customWidth="1"/>
    <col min="9" max="9" width="12.5390625" style="121" hidden="1" customWidth="1"/>
    <col min="10" max="11" width="11.73046875" style="121" hidden="1" customWidth="1"/>
    <col min="12" max="12" width="12.67578125" style="121" hidden="1" customWidth="1"/>
    <col min="13" max="13" width="13.34765625" style="121" hidden="1" customWidth="1"/>
    <col min="14" max="14" width="13.34765625" style="121" customWidth="1"/>
    <col min="15" max="15" width="11.59375" style="121" customWidth="1"/>
    <col min="16" max="16" width="1.88671875" style="121" customWidth="1"/>
    <col min="17" max="17" width="12.13671875" style="121" hidden="1" customWidth="1"/>
    <col min="18" max="22" width="0" style="121" hidden="1" customWidth="1"/>
    <col min="23" max="23" width="13.078125" style="121" customWidth="1"/>
    <col min="24" max="24" width="12.26953125" style="121" customWidth="1"/>
    <col min="25" max="25" width="11.4609375" style="121" customWidth="1"/>
    <col min="26" max="26" width="2.6953125" style="121" customWidth="1"/>
    <col min="27" max="16384" width="8.8984375" style="121"/>
  </cols>
  <sheetData>
    <row r="1" spans="1:25" x14ac:dyDescent="0.1">
      <c r="A1" s="121" t="s">
        <v>27</v>
      </c>
      <c r="F1" s="122"/>
      <c r="G1" s="122"/>
      <c r="H1" s="122"/>
      <c r="I1" s="122"/>
      <c r="J1" s="122"/>
      <c r="K1" s="122"/>
      <c r="L1" s="122"/>
      <c r="M1" s="122"/>
      <c r="N1" s="122"/>
      <c r="O1" s="123"/>
      <c r="P1" s="123"/>
      <c r="W1" s="122"/>
      <c r="X1" s="123"/>
      <c r="Y1" s="123"/>
    </row>
    <row r="2" spans="1:25" x14ac:dyDescent="0.1">
      <c r="F2" s="122"/>
      <c r="G2" s="122"/>
      <c r="H2" s="122"/>
      <c r="I2" s="122"/>
      <c r="J2" s="122"/>
      <c r="K2" s="122"/>
      <c r="L2" s="122"/>
      <c r="M2" s="122"/>
      <c r="N2" s="122"/>
      <c r="O2" s="123"/>
      <c r="P2" s="123"/>
      <c r="W2" s="122" t="s">
        <v>161</v>
      </c>
      <c r="X2" s="123"/>
      <c r="Y2" s="123"/>
    </row>
    <row r="3" spans="1:25" x14ac:dyDescent="0.1">
      <c r="A3" s="124"/>
      <c r="B3" s="125" t="s">
        <v>28</v>
      </c>
      <c r="C3" s="125" t="s">
        <v>29</v>
      </c>
      <c r="D3" s="125" t="s">
        <v>30</v>
      </c>
      <c r="E3" s="125" t="s">
        <v>31</v>
      </c>
      <c r="F3" s="126" t="s">
        <v>32</v>
      </c>
      <c r="G3" s="126" t="s">
        <v>33</v>
      </c>
      <c r="H3" s="126" t="s">
        <v>34</v>
      </c>
      <c r="I3" s="126" t="s">
        <v>35</v>
      </c>
      <c r="J3" s="126" t="s">
        <v>36</v>
      </c>
      <c r="K3" s="126" t="s">
        <v>37</v>
      </c>
      <c r="L3" s="126" t="s">
        <v>38</v>
      </c>
      <c r="M3" s="126" t="s">
        <v>39</v>
      </c>
      <c r="N3" s="126" t="s">
        <v>40</v>
      </c>
      <c r="O3" s="126" t="s">
        <v>168</v>
      </c>
      <c r="P3" s="127"/>
      <c r="W3" s="126" t="s">
        <v>141</v>
      </c>
      <c r="X3" s="126" t="s">
        <v>142</v>
      </c>
      <c r="Y3" s="126" t="s">
        <v>133</v>
      </c>
    </row>
    <row r="4" spans="1:25" x14ac:dyDescent="0.1">
      <c r="A4" s="128" t="s">
        <v>42</v>
      </c>
      <c r="B4" s="129"/>
      <c r="C4" s="129"/>
      <c r="D4" s="129"/>
      <c r="E4" s="129"/>
      <c r="F4" s="130"/>
      <c r="G4" s="130"/>
      <c r="H4" s="130"/>
      <c r="I4" s="130"/>
      <c r="J4" s="130"/>
      <c r="K4" s="130"/>
      <c r="L4" s="130"/>
      <c r="M4" s="130"/>
      <c r="N4" s="130"/>
      <c r="O4" s="131" t="s">
        <v>137</v>
      </c>
      <c r="P4" s="132"/>
      <c r="W4" s="131" t="s">
        <v>140</v>
      </c>
      <c r="X4" s="131" t="s">
        <v>140</v>
      </c>
      <c r="Y4" s="131" t="s">
        <v>134</v>
      </c>
    </row>
    <row r="5" spans="1:25" x14ac:dyDescent="0.1">
      <c r="A5" s="128"/>
      <c r="B5" s="129"/>
      <c r="C5" s="129"/>
      <c r="D5" s="129"/>
      <c r="E5" s="129"/>
      <c r="F5" s="130"/>
      <c r="G5" s="130"/>
      <c r="H5" s="130"/>
      <c r="I5" s="130"/>
      <c r="J5" s="130"/>
      <c r="K5" s="130"/>
      <c r="L5" s="130"/>
      <c r="M5" s="130"/>
      <c r="N5" s="130"/>
      <c r="O5" s="133"/>
      <c r="P5" s="134"/>
      <c r="W5" s="130"/>
      <c r="X5" s="131" t="s">
        <v>172</v>
      </c>
      <c r="Y5" s="133"/>
    </row>
    <row r="6" spans="1:25" x14ac:dyDescent="0.1">
      <c r="A6" s="128" t="s">
        <v>145</v>
      </c>
      <c r="B6" s="129"/>
      <c r="C6" s="129"/>
      <c r="D6" s="129"/>
      <c r="E6" s="129"/>
      <c r="F6" s="130"/>
      <c r="G6" s="130"/>
      <c r="H6" s="130"/>
      <c r="I6" s="130"/>
      <c r="J6" s="130"/>
      <c r="K6" s="130"/>
      <c r="L6" s="130"/>
      <c r="M6" s="130"/>
      <c r="N6" s="130"/>
      <c r="O6" s="133"/>
      <c r="P6" s="134"/>
      <c r="W6" s="130"/>
      <c r="X6" s="131" t="s">
        <v>173</v>
      </c>
      <c r="Y6" s="133"/>
    </row>
    <row r="7" spans="1:25" s="141" customFormat="1" x14ac:dyDescent="0.1">
      <c r="A7" s="135" t="s">
        <v>146</v>
      </c>
      <c r="B7" s="136">
        <f t="shared" ref="B7:G7" si="0">B8+B9+B10</f>
        <v>903508.95</v>
      </c>
      <c r="C7" s="136">
        <f t="shared" si="0"/>
        <v>907332.33000000007</v>
      </c>
      <c r="D7" s="136">
        <f t="shared" si="0"/>
        <v>856707.3</v>
      </c>
      <c r="E7" s="136">
        <f t="shared" si="0"/>
        <v>862892.7</v>
      </c>
      <c r="F7" s="136">
        <f t="shared" si="0"/>
        <v>957185.74</v>
      </c>
      <c r="G7" s="136">
        <f t="shared" si="0"/>
        <v>957105.62</v>
      </c>
      <c r="H7" s="136">
        <f t="shared" ref="H7:M7" si="1">SUM(H8:H10)</f>
        <v>975807.34</v>
      </c>
      <c r="I7" s="136">
        <f t="shared" si="1"/>
        <v>1032980.2</v>
      </c>
      <c r="J7" s="136">
        <f t="shared" si="1"/>
        <v>968590.75</v>
      </c>
      <c r="K7" s="136">
        <f t="shared" si="1"/>
        <v>858108.21</v>
      </c>
      <c r="L7" s="136">
        <f t="shared" si="1"/>
        <v>917761.52</v>
      </c>
      <c r="M7" s="136">
        <f t="shared" si="1"/>
        <v>1018912.63</v>
      </c>
      <c r="N7" s="136">
        <f>N8+N9+N10</f>
        <v>11216893.290000001</v>
      </c>
      <c r="O7" s="137"/>
      <c r="P7" s="138"/>
      <c r="Q7" s="139">
        <f>N7-N9</f>
        <v>8319720.7300000004</v>
      </c>
      <c r="R7" s="140" t="s">
        <v>138</v>
      </c>
      <c r="W7" s="136">
        <f t="shared" ref="W7:W16" si="2">SUM(F7:M7)</f>
        <v>7686452.0099999988</v>
      </c>
      <c r="X7" s="137"/>
      <c r="Y7" s="137"/>
    </row>
    <row r="8" spans="1:25" x14ac:dyDescent="0.1">
      <c r="A8" s="143" t="s">
        <v>148</v>
      </c>
      <c r="B8" s="142">
        <f>'Движение ДС Бух'!B8</f>
        <v>546408.15</v>
      </c>
      <c r="C8" s="142">
        <f>'Движение ДС Бух'!C8</f>
        <v>496585.77</v>
      </c>
      <c r="D8" s="142">
        <f>'Движение ДС Бух'!D8</f>
        <v>571123.26</v>
      </c>
      <c r="E8" s="142">
        <f>'Движение ДС Бух'!E8</f>
        <v>583847.22</v>
      </c>
      <c r="F8" s="142">
        <f>'Движение ДС Бух'!F8</f>
        <v>632103.57999999996</v>
      </c>
      <c r="G8" s="142">
        <f>'Движение ДС Бух'!G8</f>
        <v>625143.5</v>
      </c>
      <c r="H8" s="142">
        <f>'Движение ДС Бух'!H8</f>
        <v>754562.5</v>
      </c>
      <c r="I8" s="142">
        <f>'Движение ДС Бух'!I8</f>
        <v>761833.36</v>
      </c>
      <c r="J8" s="142">
        <f>'Движение ДС Бух'!J8</f>
        <v>741081.19</v>
      </c>
      <c r="K8" s="142">
        <f>'Движение ДС Бух'!K8</f>
        <v>641306.85</v>
      </c>
      <c r="L8" s="142">
        <f>'Движение ДС Бух'!L8</f>
        <v>654317.36</v>
      </c>
      <c r="M8" s="142">
        <f>'Движение ДС Бух'!M8</f>
        <v>658691.99</v>
      </c>
      <c r="N8" s="142">
        <f>SUM(B8:M8)</f>
        <v>7667004.7300000014</v>
      </c>
      <c r="O8" s="144">
        <v>8950646.6400000006</v>
      </c>
      <c r="P8" s="145"/>
      <c r="W8" s="142">
        <f t="shared" si="2"/>
        <v>5469040.3300000001</v>
      </c>
      <c r="X8" s="144">
        <f>O8/3*2</f>
        <v>5967097.7600000007</v>
      </c>
      <c r="Y8" s="144">
        <f>W8-X8</f>
        <v>-498057.43000000063</v>
      </c>
    </row>
    <row r="9" spans="1:25" x14ac:dyDescent="0.1">
      <c r="A9" s="143" t="s">
        <v>149</v>
      </c>
      <c r="B9" s="142">
        <f>'Движение ДС Бух'!B9</f>
        <v>357100.79999999999</v>
      </c>
      <c r="C9" s="142">
        <f>'Движение ДС Бух'!C9</f>
        <v>410746.56</v>
      </c>
      <c r="D9" s="142">
        <f>'Движение ДС Бух'!D9</f>
        <v>285584.03999999998</v>
      </c>
      <c r="E9" s="142">
        <f>'Движение ДС Бух'!E9</f>
        <v>279045.48</v>
      </c>
      <c r="F9" s="142">
        <f>'Движение ДС Бух'!F9</f>
        <v>179192.16</v>
      </c>
      <c r="G9" s="142">
        <f>'Движение ДС Бух'!G9</f>
        <v>187062.12</v>
      </c>
      <c r="H9" s="142">
        <f>'Движение ДС Бух'!H9</f>
        <v>178836.84</v>
      </c>
      <c r="I9" s="142">
        <f>'Движение ДС Бух'!I9</f>
        <v>193242.84</v>
      </c>
      <c r="J9" s="142">
        <f>'Движение ДС Бух'!J9</f>
        <v>177541.56</v>
      </c>
      <c r="K9" s="142">
        <f>'Движение ДС Бух'!K9</f>
        <v>155025.35999999999</v>
      </c>
      <c r="L9" s="142">
        <f>'Движение ДС Бух'!L9</f>
        <v>200192.16</v>
      </c>
      <c r="M9" s="142">
        <f>'Движение ДС Бух'!M9</f>
        <v>293602.64</v>
      </c>
      <c r="N9" s="142">
        <f>SUM(B9:M9)</f>
        <v>2897172.56</v>
      </c>
      <c r="O9" s="144"/>
      <c r="P9" s="145"/>
      <c r="W9" s="142">
        <f t="shared" si="2"/>
        <v>1564695.6799999997</v>
      </c>
      <c r="X9" s="144"/>
      <c r="Y9" s="144"/>
    </row>
    <row r="10" spans="1:25" x14ac:dyDescent="0.1">
      <c r="A10" s="143" t="s">
        <v>150</v>
      </c>
      <c r="B10" s="146">
        <f>'Движение ДС Бух'!B10</f>
        <v>0</v>
      </c>
      <c r="C10" s="147">
        <f>'Движение ДС Бух'!C10</f>
        <v>0</v>
      </c>
      <c r="D10" s="148">
        <f>'Движение ДС Бух'!D10</f>
        <v>0</v>
      </c>
      <c r="E10" s="148">
        <f>'Движение ДС Бух'!E10</f>
        <v>0</v>
      </c>
      <c r="F10" s="142">
        <f>'Движение ДС Бух'!F10</f>
        <v>145890</v>
      </c>
      <c r="G10" s="142">
        <f>'Движение ДС Бух'!G10</f>
        <v>144900</v>
      </c>
      <c r="H10" s="142">
        <f>'Движение ДС Бух'!H10</f>
        <v>42408</v>
      </c>
      <c r="I10" s="142">
        <f>'Движение ДС Бух'!I10</f>
        <v>77904</v>
      </c>
      <c r="J10" s="142">
        <f>'Движение ДС Бух'!J10</f>
        <v>49968</v>
      </c>
      <c r="K10" s="142">
        <f>'Движение ДС Бух'!K10</f>
        <v>61776</v>
      </c>
      <c r="L10" s="142">
        <f>'Движение ДС Бух'!L10</f>
        <v>63252</v>
      </c>
      <c r="M10" s="142">
        <f>'Движение ДС Бух'!M10</f>
        <v>66618</v>
      </c>
      <c r="N10" s="142">
        <f>SUM(B10:M10)</f>
        <v>652716</v>
      </c>
      <c r="O10" s="144">
        <v>1269440</v>
      </c>
      <c r="P10" s="145"/>
      <c r="W10" s="142">
        <f t="shared" si="2"/>
        <v>652716</v>
      </c>
      <c r="X10" s="144">
        <f>O10/3*2</f>
        <v>846293.33333333337</v>
      </c>
      <c r="Y10" s="144">
        <f>W10-X10</f>
        <v>-193577.33333333337</v>
      </c>
    </row>
    <row r="11" spans="1:25" s="140" customFormat="1" x14ac:dyDescent="0.1">
      <c r="A11" s="149" t="s">
        <v>147</v>
      </c>
      <c r="B11" s="136">
        <f>B12+B13+B14</f>
        <v>80358.850000000006</v>
      </c>
      <c r="C11" s="136">
        <f>C12+C13+C14</f>
        <v>65787.490000000005</v>
      </c>
      <c r="D11" s="136">
        <f>D12+D13+D14</f>
        <v>81565.930000000008</v>
      </c>
      <c r="E11" s="136">
        <f>E12+E13+E14</f>
        <v>55255.85</v>
      </c>
      <c r="F11" s="136">
        <f>F12+F13+F14</f>
        <v>54195.72</v>
      </c>
      <c r="G11" s="136">
        <f t="shared" ref="G11:N11" si="3">G12+G13+G14</f>
        <v>60419.64</v>
      </c>
      <c r="H11" s="136">
        <f t="shared" si="3"/>
        <v>65270.92</v>
      </c>
      <c r="I11" s="136">
        <f t="shared" si="3"/>
        <v>70729.72</v>
      </c>
      <c r="J11" s="136">
        <f t="shared" si="3"/>
        <v>74800.070000000007</v>
      </c>
      <c r="K11" s="136">
        <f t="shared" si="3"/>
        <v>67670.48000000001</v>
      </c>
      <c r="L11" s="136">
        <f t="shared" si="3"/>
        <v>79032.760000000009</v>
      </c>
      <c r="M11" s="136">
        <f t="shared" si="3"/>
        <v>132749.08000000002</v>
      </c>
      <c r="N11" s="136">
        <f t="shared" si="3"/>
        <v>887836.51</v>
      </c>
      <c r="O11" s="137"/>
      <c r="P11" s="138"/>
      <c r="Q11" s="140">
        <f>N11-N13</f>
        <v>157911.07999999996</v>
      </c>
      <c r="R11" s="140" t="s">
        <v>138</v>
      </c>
      <c r="V11" s="140" t="s">
        <v>6</v>
      </c>
      <c r="W11" s="136">
        <f t="shared" si="2"/>
        <v>604868.39000000013</v>
      </c>
      <c r="X11" s="144"/>
      <c r="Y11" s="137"/>
    </row>
    <row r="12" spans="1:25" x14ac:dyDescent="0.1">
      <c r="A12" s="143" t="s">
        <v>151</v>
      </c>
      <c r="B12" s="142">
        <f>'Движение ДС Бух'!B12</f>
        <v>2795.77</v>
      </c>
      <c r="C12" s="142">
        <f>'Движение ДС Бух'!C12</f>
        <v>2795.77</v>
      </c>
      <c r="D12" s="142">
        <f>'Движение ДС Бух'!D12</f>
        <v>2795.77</v>
      </c>
      <c r="E12" s="142">
        <f>'Движение ДС Бух'!E12</f>
        <v>1695.77</v>
      </c>
      <c r="F12" s="142">
        <f>'Движение ДС Бух'!F12</f>
        <v>6900</v>
      </c>
      <c r="G12" s="142">
        <f>'Движение ДС Бух'!G12</f>
        <v>6900</v>
      </c>
      <c r="H12" s="142">
        <f>'Движение ДС Бух'!H12</f>
        <v>6900</v>
      </c>
      <c r="I12" s="142">
        <f>'Движение ДС Бух'!I12</f>
        <v>16500</v>
      </c>
      <c r="J12" s="142">
        <f>'Движение ДС Бух'!J12</f>
        <v>6900</v>
      </c>
      <c r="K12" s="142">
        <f>'Движение ДС Бух'!K12</f>
        <v>6900</v>
      </c>
      <c r="L12" s="142">
        <f>'Движение ДС Бух'!L12</f>
        <v>6900</v>
      </c>
      <c r="M12" s="142">
        <f>'Движение ДС Бух'!M12</f>
        <v>6900</v>
      </c>
      <c r="N12" s="142">
        <f>SUM(B12:M12)</f>
        <v>74883.08</v>
      </c>
      <c r="O12" s="144">
        <v>91200</v>
      </c>
      <c r="P12" s="145"/>
      <c r="W12" s="142">
        <f t="shared" si="2"/>
        <v>64800</v>
      </c>
      <c r="X12" s="144">
        <f>O12/3*2</f>
        <v>60800</v>
      </c>
      <c r="Y12" s="144">
        <f>W12-X12</f>
        <v>4000</v>
      </c>
    </row>
    <row r="13" spans="1:25" x14ac:dyDescent="0.1">
      <c r="A13" s="143" t="s">
        <v>152</v>
      </c>
      <c r="B13" s="142">
        <f>'Движение ДС Бух'!B13</f>
        <v>77563.08</v>
      </c>
      <c r="C13" s="142">
        <f>'Движение ДС Бух'!C13</f>
        <v>62991.72</v>
      </c>
      <c r="D13" s="142">
        <f>'Движение ДС Бух'!D13</f>
        <v>78770.16</v>
      </c>
      <c r="E13" s="142">
        <f>'Движение ДС Бух'!E13</f>
        <v>53560.08</v>
      </c>
      <c r="F13" s="142">
        <f>'Движение ДС Бух'!F13</f>
        <v>41145.72</v>
      </c>
      <c r="G13" s="142">
        <f>'Движение ДС Бух'!G13</f>
        <v>45881.64</v>
      </c>
      <c r="H13" s="142">
        <f>'Движение ДС Бух'!H13</f>
        <v>50032.92</v>
      </c>
      <c r="I13" s="142">
        <f>'Движение ДС Бух'!I13</f>
        <v>45891.72</v>
      </c>
      <c r="J13" s="142">
        <f>'Движение ДС Бух'!J13</f>
        <v>46452.07</v>
      </c>
      <c r="K13" s="142">
        <f>'Движение ДС Бух'!K13</f>
        <v>52432.480000000003</v>
      </c>
      <c r="L13" s="142">
        <f>'Движение ДС Бух'!L13</f>
        <v>60554.76</v>
      </c>
      <c r="M13" s="142">
        <f>'Движение ДС Бух'!M13</f>
        <v>114649.08</v>
      </c>
      <c r="N13" s="142">
        <f>SUM(B13:M13)</f>
        <v>729925.43</v>
      </c>
      <c r="O13" s="144"/>
      <c r="P13" s="145"/>
      <c r="W13" s="142">
        <f t="shared" si="2"/>
        <v>457040.39</v>
      </c>
      <c r="X13" s="144"/>
      <c r="Y13" s="144"/>
    </row>
    <row r="14" spans="1:25" x14ac:dyDescent="0.1">
      <c r="A14" s="143" t="s">
        <v>153</v>
      </c>
      <c r="B14" s="142">
        <f>'Движение ДС Бух'!B14</f>
        <v>0</v>
      </c>
      <c r="C14" s="142">
        <f>'Движение ДС Бух'!C14</f>
        <v>0</v>
      </c>
      <c r="D14" s="142">
        <f>'Движение ДС Бух'!D14</f>
        <v>0</v>
      </c>
      <c r="E14" s="142">
        <f>'Движение ДС Бух'!E14</f>
        <v>0</v>
      </c>
      <c r="F14" s="142">
        <f>'Движение ДС Бух'!F14</f>
        <v>6150</v>
      </c>
      <c r="G14" s="142">
        <f>'Движение ДС Бух'!G14</f>
        <v>7638</v>
      </c>
      <c r="H14" s="142">
        <f>'Движение ДС Бух'!H14</f>
        <v>8338</v>
      </c>
      <c r="I14" s="142">
        <f>'Движение ДС Бух'!I14</f>
        <v>8338</v>
      </c>
      <c r="J14" s="142">
        <f>'Движение ДС Бух'!J14</f>
        <v>21448</v>
      </c>
      <c r="K14" s="142">
        <f>'Движение ДС Бух'!K14</f>
        <v>8338</v>
      </c>
      <c r="L14" s="142">
        <f>'Движение ДС Бух'!L14</f>
        <v>11578</v>
      </c>
      <c r="M14" s="142">
        <f>'Движение ДС Бух'!M14</f>
        <v>11200</v>
      </c>
      <c r="N14" s="142">
        <f>SUM(B14:M14)</f>
        <v>83028</v>
      </c>
      <c r="O14" s="144">
        <v>100000</v>
      </c>
      <c r="P14" s="145"/>
      <c r="W14" s="142">
        <f t="shared" si="2"/>
        <v>83028</v>
      </c>
      <c r="X14" s="144">
        <f>O14/3*2</f>
        <v>66666.666666666672</v>
      </c>
      <c r="Y14" s="144">
        <f>W14-X14</f>
        <v>16361.333333333328</v>
      </c>
    </row>
    <row r="15" spans="1:25" s="152" customFormat="1" x14ac:dyDescent="0.1">
      <c r="A15" s="135" t="s">
        <v>164</v>
      </c>
      <c r="B15" s="150">
        <f>'Движение ДС Бух'!B15</f>
        <v>251015.36</v>
      </c>
      <c r="C15" s="150">
        <f>'Движение ДС Бух'!C15</f>
        <v>254172.79999999999</v>
      </c>
      <c r="D15" s="151">
        <f>'Движение ДС Бух'!D15</f>
        <v>224335.93</v>
      </c>
      <c r="E15" s="151">
        <f>'Движение ДС Бух'!E15</f>
        <v>225621.13</v>
      </c>
      <c r="F15" s="136">
        <f>'Движение ДС Бух'!F15</f>
        <v>258763.55</v>
      </c>
      <c r="G15" s="136">
        <f>'Движение ДС Бух'!G15</f>
        <v>101611.99</v>
      </c>
      <c r="H15" s="136">
        <f>'Движение ДС Бух'!H15</f>
        <v>279441.3</v>
      </c>
      <c r="I15" s="136">
        <f>'Движение ДС Бух'!I15</f>
        <v>300948.63</v>
      </c>
      <c r="J15" s="136">
        <f>'Движение ДС Бух'!J15</f>
        <v>220414.6</v>
      </c>
      <c r="K15" s="136">
        <f>'Движение ДС Бух'!K15</f>
        <v>712587.38</v>
      </c>
      <c r="L15" s="136">
        <f>'Движение ДС Бух'!L15</f>
        <v>183487.92</v>
      </c>
      <c r="M15" s="136">
        <f>'Движение ДС Бух'!M15</f>
        <v>228690.36</v>
      </c>
      <c r="N15" s="136">
        <f>SUM(B15:M15)</f>
        <v>3241090.9499999997</v>
      </c>
      <c r="O15" s="137"/>
      <c r="P15" s="138"/>
      <c r="W15" s="136">
        <f t="shared" si="2"/>
        <v>2285945.73</v>
      </c>
      <c r="X15" s="137"/>
      <c r="Y15" s="137"/>
    </row>
    <row r="16" spans="1:25" s="141" customFormat="1" x14ac:dyDescent="0.1">
      <c r="A16" s="135" t="s">
        <v>165</v>
      </c>
      <c r="B16" s="151">
        <f>'Движение ДС Бух'!B16</f>
        <v>57</v>
      </c>
      <c r="C16" s="151">
        <f>'Движение ДС Бух'!C16</f>
        <v>57</v>
      </c>
      <c r="D16" s="151">
        <f>'Движение ДС Бух'!D16</f>
        <v>0</v>
      </c>
      <c r="E16" s="151">
        <f>'Движение ДС Бух'!E16</f>
        <v>114</v>
      </c>
      <c r="F16" s="136">
        <f>'Движение ДС Бух'!F16</f>
        <v>0</v>
      </c>
      <c r="G16" s="136">
        <f>'Движение ДС Бух'!G16</f>
        <v>0</v>
      </c>
      <c r="H16" s="136">
        <f>'Движение ДС Бух'!H16</f>
        <v>0</v>
      </c>
      <c r="I16" s="136">
        <f>'Движение ДС Бух'!I16</f>
        <v>0</v>
      </c>
      <c r="J16" s="136">
        <f>'Движение ДС Бух'!J16</f>
        <v>0</v>
      </c>
      <c r="K16" s="136">
        <f>'Движение ДС Бух'!K16</f>
        <v>0</v>
      </c>
      <c r="L16" s="136">
        <f>'Движение ДС Бух'!L16</f>
        <v>0</v>
      </c>
      <c r="M16" s="136">
        <f>'Движение ДС Бух'!M16</f>
        <v>0</v>
      </c>
      <c r="N16" s="136">
        <f>SUM(B16:M16)</f>
        <v>228</v>
      </c>
      <c r="O16" s="137"/>
      <c r="P16" s="138"/>
      <c r="W16" s="142">
        <f t="shared" si="2"/>
        <v>0</v>
      </c>
      <c r="X16" s="137"/>
      <c r="Y16" s="137"/>
    </row>
    <row r="17" spans="1:25" s="141" customFormat="1" x14ac:dyDescent="0.1">
      <c r="A17" s="135"/>
      <c r="B17" s="151"/>
      <c r="C17" s="151"/>
      <c r="D17" s="151"/>
      <c r="E17" s="151"/>
      <c r="F17" s="136"/>
      <c r="G17" s="136"/>
      <c r="H17" s="136"/>
      <c r="I17" s="136"/>
      <c r="J17" s="136"/>
      <c r="K17" s="136"/>
      <c r="L17" s="136"/>
      <c r="M17" s="136"/>
      <c r="N17" s="136"/>
      <c r="O17" s="137"/>
      <c r="P17" s="138"/>
      <c r="W17" s="136"/>
      <c r="X17" s="137"/>
      <c r="Y17" s="137"/>
    </row>
    <row r="18" spans="1:25" s="141" customFormat="1" x14ac:dyDescent="0.1">
      <c r="A18" s="153" t="s">
        <v>169</v>
      </c>
      <c r="B18" s="136">
        <f t="shared" ref="B18:J18" si="4">B7+B11+B16+B15</f>
        <v>1234940.1599999999</v>
      </c>
      <c r="C18" s="136">
        <f t="shared" si="4"/>
        <v>1227349.6200000001</v>
      </c>
      <c r="D18" s="136">
        <f t="shared" si="4"/>
        <v>1162609.1600000001</v>
      </c>
      <c r="E18" s="136">
        <f t="shared" si="4"/>
        <v>1143883.68</v>
      </c>
      <c r="F18" s="136">
        <f t="shared" si="4"/>
        <v>1270145.01</v>
      </c>
      <c r="G18" s="136">
        <f t="shared" si="4"/>
        <v>1119137.25</v>
      </c>
      <c r="H18" s="136">
        <f t="shared" si="4"/>
        <v>1320519.56</v>
      </c>
      <c r="I18" s="136">
        <f t="shared" si="4"/>
        <v>1404658.5499999998</v>
      </c>
      <c r="J18" s="136">
        <f t="shared" si="4"/>
        <v>1263805.4200000002</v>
      </c>
      <c r="K18" s="136">
        <f>K7+K11+K15+K16</f>
        <v>1638366.0699999998</v>
      </c>
      <c r="L18" s="136">
        <f>L7+L11+L15+L16</f>
        <v>1180282.2</v>
      </c>
      <c r="M18" s="136">
        <f>M7+M11+M15+M16</f>
        <v>1380352.0699999998</v>
      </c>
      <c r="N18" s="136">
        <f>N7+N11+N15+N16</f>
        <v>15346048.75</v>
      </c>
      <c r="O18" s="137"/>
      <c r="P18" s="138"/>
      <c r="Q18" s="139">
        <f>Q7+Q11</f>
        <v>8477631.8100000005</v>
      </c>
      <c r="R18" s="141" t="s">
        <v>139</v>
      </c>
      <c r="W18" s="136">
        <f>SUM(F18:M18)</f>
        <v>10577266.129999999</v>
      </c>
      <c r="X18" s="137"/>
      <c r="Y18" s="137"/>
    </row>
    <row r="19" spans="1:25" s="159" customFormat="1" x14ac:dyDescent="0.1">
      <c r="A19" s="154" t="s">
        <v>170</v>
      </c>
      <c r="B19" s="155"/>
      <c r="C19" s="155"/>
      <c r="D19" s="155"/>
      <c r="E19" s="155"/>
      <c r="F19" s="156">
        <f t="shared" ref="F19:L19" si="5">F8+F10+F12+F14</f>
        <v>791043.58</v>
      </c>
      <c r="G19" s="156">
        <f t="shared" si="5"/>
        <v>784581.5</v>
      </c>
      <c r="H19" s="156">
        <f t="shared" si="5"/>
        <v>812208.5</v>
      </c>
      <c r="I19" s="156">
        <f t="shared" si="5"/>
        <v>864575.36</v>
      </c>
      <c r="J19" s="156">
        <f t="shared" si="5"/>
        <v>819397.19</v>
      </c>
      <c r="K19" s="156">
        <f t="shared" si="5"/>
        <v>718320.85</v>
      </c>
      <c r="L19" s="156">
        <f t="shared" si="5"/>
        <v>736047.36</v>
      </c>
      <c r="M19" s="156">
        <f>M8+M10+M12+M14</f>
        <v>743409.99</v>
      </c>
      <c r="N19" s="156"/>
      <c r="O19" s="157">
        <v>10411286.640000001</v>
      </c>
      <c r="P19" s="158"/>
      <c r="W19" s="156">
        <f>W8+W10+W12+W14</f>
        <v>6269584.3300000001</v>
      </c>
      <c r="X19" s="157">
        <f>O19/3*2</f>
        <v>6940857.7600000007</v>
      </c>
      <c r="Y19" s="157">
        <f>W19-X19</f>
        <v>-671273.43000000063</v>
      </c>
    </row>
    <row r="20" spans="1:25" s="141" customFormat="1" x14ac:dyDescent="0.1">
      <c r="A20" s="160"/>
      <c r="B20" s="151"/>
      <c r="C20" s="151"/>
      <c r="D20" s="151"/>
      <c r="E20" s="151"/>
      <c r="F20" s="136"/>
      <c r="G20" s="136"/>
      <c r="H20" s="136"/>
      <c r="I20" s="136"/>
      <c r="J20" s="136"/>
      <c r="K20" s="136"/>
      <c r="L20" s="136"/>
      <c r="M20" s="136"/>
      <c r="N20" s="136"/>
      <c r="O20" s="137"/>
      <c r="P20" s="138"/>
      <c r="W20" s="136"/>
      <c r="X20" s="137"/>
      <c r="Y20" s="137"/>
    </row>
    <row r="21" spans="1:25" x14ac:dyDescent="0.1">
      <c r="A21" s="128" t="s">
        <v>154</v>
      </c>
      <c r="B21" s="130">
        <f t="shared" ref="B21:H21" si="6">SUM(B22:B26)</f>
        <v>1207186.04</v>
      </c>
      <c r="C21" s="130">
        <f t="shared" si="6"/>
        <v>950387.79</v>
      </c>
      <c r="D21" s="130">
        <f t="shared" si="6"/>
        <v>1033394.85</v>
      </c>
      <c r="E21" s="130">
        <f t="shared" si="6"/>
        <v>794427.93</v>
      </c>
      <c r="F21" s="130">
        <f t="shared" si="6"/>
        <v>941129.08</v>
      </c>
      <c r="G21" s="130">
        <f t="shared" si="6"/>
        <v>889606.56</v>
      </c>
      <c r="H21" s="130">
        <f t="shared" si="6"/>
        <v>1380415.05</v>
      </c>
      <c r="I21" s="130">
        <f>SUM(I22:I26)</f>
        <v>1038068.3099999999</v>
      </c>
      <c r="J21" s="130">
        <f>SUM(J22:J26)</f>
        <v>978716.13</v>
      </c>
      <c r="K21" s="130">
        <f>SUM(K22:K26)</f>
        <v>1157609.0899999999</v>
      </c>
      <c r="L21" s="130">
        <f>SUM(L22:L26)</f>
        <v>1584056.12</v>
      </c>
      <c r="M21" s="130">
        <f>SUM(M22:M26)</f>
        <v>944811.48</v>
      </c>
      <c r="N21" s="136">
        <f>N22+N23+N24+N25+N26</f>
        <v>12899808.43</v>
      </c>
      <c r="O21" s="137"/>
      <c r="P21" s="134"/>
      <c r="Q21" s="140">
        <f>SUM(Q22:Q26)</f>
        <v>7915081.5699999984</v>
      </c>
      <c r="R21" s="140" t="s">
        <v>136</v>
      </c>
      <c r="W21" s="136">
        <f>W22+W23+W24+W25+W26</f>
        <v>8914411.8200000003</v>
      </c>
      <c r="X21" s="137"/>
      <c r="Y21" s="137"/>
    </row>
    <row r="22" spans="1:25" s="122" customFormat="1" x14ac:dyDescent="0.1">
      <c r="A22" s="161" t="s">
        <v>155</v>
      </c>
      <c r="B22" s="142">
        <f>'Движение ДС Бух'!B21</f>
        <v>1004593.87</v>
      </c>
      <c r="C22" s="142">
        <f>'Движение ДС Бух'!C21</f>
        <v>829938.17</v>
      </c>
      <c r="D22" s="142">
        <f>'Движение ДС Бух'!D21</f>
        <v>880714.2</v>
      </c>
      <c r="E22" s="142">
        <f>'Движение ДС Бух'!E21</f>
        <v>736918.78</v>
      </c>
      <c r="F22" s="142">
        <f>'Движение ДС Бух'!F21</f>
        <v>833951.42</v>
      </c>
      <c r="G22" s="142">
        <f>'Движение ДС Бух'!G21</f>
        <v>702670.65</v>
      </c>
      <c r="H22" s="142">
        <f>'Движение ДС Бух'!H21</f>
        <v>927407.15</v>
      </c>
      <c r="I22" s="142">
        <f>'Движение ДС Бух'!I21</f>
        <v>933289.7</v>
      </c>
      <c r="J22" s="142">
        <f>'Движение ДС Бух'!J21</f>
        <v>809332.63</v>
      </c>
      <c r="K22" s="142">
        <f>'Движение ДС Бух'!K21</f>
        <v>893909.57</v>
      </c>
      <c r="L22" s="142">
        <f>'Движение ДС Бух'!L21</f>
        <v>1352803.11</v>
      </c>
      <c r="M22" s="142">
        <f>'Движение ДС Бух'!M21</f>
        <v>816508.29</v>
      </c>
      <c r="N22" s="142">
        <f>SUM(B22:M22)</f>
        <v>10722037.539999999</v>
      </c>
      <c r="O22" s="144"/>
      <c r="P22" s="145"/>
      <c r="Q22" s="122">
        <f>N22-N9</f>
        <v>7824864.9799999986</v>
      </c>
      <c r="R22" s="122" t="s">
        <v>136</v>
      </c>
      <c r="W22" s="142">
        <f>SUM(F22:M22)</f>
        <v>7269872.5200000005</v>
      </c>
      <c r="X22" s="144"/>
      <c r="Y22" s="144"/>
    </row>
    <row r="23" spans="1:25" s="122" customFormat="1" x14ac:dyDescent="0.1">
      <c r="A23" s="161" t="s">
        <v>156</v>
      </c>
      <c r="B23" s="142">
        <f>'Движение ДС Бух'!B22</f>
        <v>102473.9</v>
      </c>
      <c r="C23" s="142">
        <f>'Движение ДС Бух'!C22</f>
        <v>52891.61</v>
      </c>
      <c r="D23" s="142">
        <f>'Движение ДС Бух'!D22</f>
        <v>111673.15</v>
      </c>
      <c r="E23" s="142">
        <f>'Движение ДС Бух'!E22</f>
        <v>36591.35</v>
      </c>
      <c r="F23" s="142">
        <f>'Движение ДС Бух'!F22</f>
        <v>43974.559999999998</v>
      </c>
      <c r="G23" s="142">
        <f>'Движение ДС Бух'!G22</f>
        <v>29819.360000000001</v>
      </c>
      <c r="H23" s="142">
        <f>'Движение ДС Бух'!H22</f>
        <v>111321.4</v>
      </c>
      <c r="I23" s="142">
        <f>'Движение ДС Бух'!I22</f>
        <v>23290.32</v>
      </c>
      <c r="J23" s="142">
        <f>'Движение ДС Бух'!J22</f>
        <v>59103.48</v>
      </c>
      <c r="K23" s="142">
        <f>'Движение ДС Бух'!K22</f>
        <v>58578.400000000001</v>
      </c>
      <c r="L23" s="142">
        <f>'Движение ДС Бух'!L22</f>
        <v>67926.64</v>
      </c>
      <c r="M23" s="142">
        <f>'Движение ДС Бух'!M22</f>
        <v>88738.85</v>
      </c>
      <c r="N23" s="142">
        <f>SUM(B23:M23)</f>
        <v>786383.02</v>
      </c>
      <c r="O23" s="144"/>
      <c r="P23" s="145"/>
      <c r="Q23" s="122">
        <f>N23-N13</f>
        <v>56457.589999999967</v>
      </c>
      <c r="R23" s="122" t="s">
        <v>136</v>
      </c>
      <c r="W23" s="142">
        <f>SUM(F23:M23)</f>
        <v>482753.01</v>
      </c>
      <c r="X23" s="144"/>
      <c r="Y23" s="144"/>
    </row>
    <row r="24" spans="1:25" s="162" customFormat="1" x14ac:dyDescent="0.1">
      <c r="A24" s="161" t="s">
        <v>157</v>
      </c>
      <c r="B24" s="142">
        <f>'Движение ДС Бух'!B23</f>
        <v>94271.27</v>
      </c>
      <c r="C24" s="142">
        <f>'Движение ДС Бух'!C23</f>
        <v>63932.01</v>
      </c>
      <c r="D24" s="142">
        <f>'Движение ДС Бух'!D23</f>
        <v>39829.5</v>
      </c>
      <c r="E24" s="142">
        <f>'Движение ДС Бух'!E23</f>
        <v>20803.8</v>
      </c>
      <c r="F24" s="142">
        <f>'Движение ДС Бух'!F23</f>
        <v>42289.1</v>
      </c>
      <c r="G24" s="142">
        <f>'Движение ДС Бух'!G23</f>
        <v>157116.54999999999</v>
      </c>
      <c r="H24" s="142">
        <f>'Движение ДС Бух'!H23</f>
        <v>341686.5</v>
      </c>
      <c r="I24" s="142">
        <f>'Движение ДС Бух'!I23</f>
        <v>81488.289999999994</v>
      </c>
      <c r="J24" s="142">
        <f>'Движение ДС Бух'!J23</f>
        <v>110280.02</v>
      </c>
      <c r="K24" s="142">
        <f>'Движение ДС Бух'!K23</f>
        <v>205121.12</v>
      </c>
      <c r="L24" s="142">
        <f>'Движение ДС Бух'!L23</f>
        <v>161246.37</v>
      </c>
      <c r="M24" s="142">
        <f>'Движение ДС Бух'!M23</f>
        <v>39564.339999999997</v>
      </c>
      <c r="N24" s="142">
        <f>SUM(B24:M24)</f>
        <v>1357628.8700000003</v>
      </c>
      <c r="O24" s="144"/>
      <c r="P24" s="145"/>
      <c r="W24" s="142">
        <f>SUM(F24:M24)</f>
        <v>1138792.2900000003</v>
      </c>
      <c r="X24" s="144"/>
      <c r="Y24" s="144"/>
    </row>
    <row r="25" spans="1:25" s="162" customFormat="1" x14ac:dyDescent="0.1">
      <c r="A25" s="161" t="s">
        <v>158</v>
      </c>
      <c r="B25" s="142">
        <f>'Движение ДС Бух'!B24</f>
        <v>57</v>
      </c>
      <c r="C25" s="142">
        <f>'Движение ДС Бух'!C24</f>
        <v>57</v>
      </c>
      <c r="D25" s="142">
        <f>'Движение ДС Бух'!D24</f>
        <v>0</v>
      </c>
      <c r="E25" s="142">
        <f>'Движение ДС Бух'!E24</f>
        <v>114</v>
      </c>
      <c r="F25" s="142">
        <f>'Движение ДС Бух'!F24</f>
        <v>20914</v>
      </c>
      <c r="G25" s="142">
        <f>'Движение ДС Бух'!G24</f>
        <v>0</v>
      </c>
      <c r="H25" s="142">
        <f>'Движение ДС Бух'!H24</f>
        <v>0</v>
      </c>
      <c r="I25" s="142">
        <f>'Движение ДС Бух'!I24</f>
        <v>0</v>
      </c>
      <c r="J25" s="142">
        <f>'Движение ДС Бух'!J24</f>
        <v>0</v>
      </c>
      <c r="K25" s="142">
        <f>'Движение ДС Бух'!K24</f>
        <v>0</v>
      </c>
      <c r="L25" s="142">
        <f>'Движение ДС Бух'!L24</f>
        <v>0</v>
      </c>
      <c r="M25" s="142">
        <f>'Движение ДС Бух'!M24</f>
        <v>0</v>
      </c>
      <c r="N25" s="142">
        <f>SUM(B25:M25)</f>
        <v>21142</v>
      </c>
      <c r="O25" s="144"/>
      <c r="P25" s="145"/>
      <c r="Q25" s="162">
        <f>N25</f>
        <v>21142</v>
      </c>
      <c r="W25" s="142">
        <f>SUM(F25:M25)</f>
        <v>20914</v>
      </c>
      <c r="X25" s="144"/>
      <c r="Y25" s="144"/>
    </row>
    <row r="26" spans="1:25" s="122" customFormat="1" x14ac:dyDescent="0.1">
      <c r="A26" s="161" t="s">
        <v>159</v>
      </c>
      <c r="B26" s="142">
        <f>'Движение ДС Бух'!B25</f>
        <v>5790</v>
      </c>
      <c r="C26" s="142">
        <f>'Движение ДС Бух'!C25</f>
        <v>3569</v>
      </c>
      <c r="D26" s="142">
        <f>'Движение ДС Бух'!D25</f>
        <v>1178</v>
      </c>
      <c r="E26" s="142">
        <f>'Движение ДС Бух'!E25</f>
        <v>0</v>
      </c>
      <c r="F26" s="142">
        <f>'Движение ДС Бух'!F25</f>
        <v>0</v>
      </c>
      <c r="G26" s="142">
        <f>'Движение ДС Бух'!G25</f>
        <v>0</v>
      </c>
      <c r="H26" s="142">
        <f>'Движение ДС Бух'!H25</f>
        <v>0</v>
      </c>
      <c r="I26" s="142">
        <f>'Движение ДС Бух'!I25</f>
        <v>0</v>
      </c>
      <c r="J26" s="142">
        <f>'Движение ДС Бух'!J25</f>
        <v>0</v>
      </c>
      <c r="K26" s="142">
        <f>'Движение ДС Бух'!K25</f>
        <v>0</v>
      </c>
      <c r="L26" s="142">
        <f>'Движение ДС Бух'!L25</f>
        <v>2080</v>
      </c>
      <c r="M26" s="142">
        <f>'Движение ДС Бух'!M25</f>
        <v>0</v>
      </c>
      <c r="N26" s="142">
        <f>SUM(B26:M26)</f>
        <v>12617</v>
      </c>
      <c r="O26" s="144"/>
      <c r="P26" s="145"/>
      <c r="Q26" s="122">
        <f>N26</f>
        <v>12617</v>
      </c>
      <c r="W26" s="142">
        <f>SUM(F26:M26)</f>
        <v>2080</v>
      </c>
      <c r="X26" s="144"/>
      <c r="Y26" s="144"/>
    </row>
    <row r="27" spans="1:25" s="165" customFormat="1" x14ac:dyDescent="0.1">
      <c r="A27" s="154" t="s">
        <v>162</v>
      </c>
      <c r="B27" s="163"/>
      <c r="C27" s="163"/>
      <c r="D27" s="163"/>
      <c r="E27" s="163"/>
      <c r="F27" s="156">
        <f t="shared" ref="F27:L27" si="7">F22+F23-F9-F13</f>
        <v>657588.1</v>
      </c>
      <c r="G27" s="156">
        <f t="shared" si="7"/>
        <v>499546.25</v>
      </c>
      <c r="H27" s="156">
        <f t="shared" si="7"/>
        <v>809858.79</v>
      </c>
      <c r="I27" s="156">
        <f t="shared" si="7"/>
        <v>717445.46</v>
      </c>
      <c r="J27" s="156">
        <f t="shared" si="7"/>
        <v>644442.4800000001</v>
      </c>
      <c r="K27" s="156">
        <f t="shared" si="7"/>
        <v>745030.13</v>
      </c>
      <c r="L27" s="156">
        <f t="shared" si="7"/>
        <v>1159982.83</v>
      </c>
      <c r="M27" s="156">
        <f>M22+M23-M9-M13</f>
        <v>496995.42</v>
      </c>
      <c r="N27" s="156"/>
      <c r="O27" s="157">
        <v>10411286.640000001</v>
      </c>
      <c r="P27" s="164"/>
      <c r="W27" s="156">
        <f>W22+W23-W9-W13</f>
        <v>5730889.4600000009</v>
      </c>
      <c r="X27" s="157">
        <f>X19</f>
        <v>6940857.7600000007</v>
      </c>
      <c r="Y27" s="157">
        <f>W27-X27</f>
        <v>-1209968.2999999998</v>
      </c>
    </row>
    <row r="28" spans="1:25" s="190" customFormat="1" x14ac:dyDescent="0.1">
      <c r="A28" s="185" t="s">
        <v>163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7"/>
      <c r="O28" s="188"/>
      <c r="P28" s="189"/>
      <c r="W28" s="187">
        <f>W21-W9-W13</f>
        <v>6892675.7500000009</v>
      </c>
      <c r="X28" s="191"/>
      <c r="Y28" s="191"/>
    </row>
    <row r="29" spans="1:25" s="122" customFormat="1" x14ac:dyDescent="0.1">
      <c r="A29" s="161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4"/>
      <c r="P29" s="145"/>
      <c r="W29" s="142"/>
      <c r="X29" s="144"/>
      <c r="Y29" s="144"/>
    </row>
    <row r="30" spans="1:25" s="122" customFormat="1" x14ac:dyDescent="0.1">
      <c r="A30" s="128" t="s">
        <v>95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4"/>
      <c r="P30" s="145"/>
      <c r="W30" s="142"/>
      <c r="X30" s="144"/>
      <c r="Y30" s="144"/>
    </row>
    <row r="31" spans="1:25" s="122" customFormat="1" x14ac:dyDescent="0.1">
      <c r="A31" s="161" t="s">
        <v>96</v>
      </c>
      <c r="B31" s="142">
        <f>'Движение ДС Бух'!B27</f>
        <v>31781.3</v>
      </c>
      <c r="C31" s="142">
        <f>'Движение ДС Бух'!C27</f>
        <v>19173.759999999998</v>
      </c>
      <c r="D31" s="142">
        <f>'Движение ДС Бух'!D27</f>
        <v>0</v>
      </c>
      <c r="E31" s="142">
        <f>'Движение ДС Бух'!E27</f>
        <v>64536.74</v>
      </c>
      <c r="F31" s="142">
        <f>'Движение ДС Бух'!F27</f>
        <v>3014.59</v>
      </c>
      <c r="G31" s="142">
        <f>'Движение ДС Бух'!G27</f>
        <v>126632.85</v>
      </c>
      <c r="H31" s="142">
        <f>'Движение ДС Бух'!H27</f>
        <v>2020.83</v>
      </c>
      <c r="I31" s="142">
        <f>'Движение ДС Бух'!I27</f>
        <v>30141.74</v>
      </c>
      <c r="J31" s="142">
        <f>'Движение ДС Бух'!J27</f>
        <v>37776.58</v>
      </c>
      <c r="K31" s="142">
        <f>'Движение ДС Бух'!K27</f>
        <v>12541.57</v>
      </c>
      <c r="L31" s="142">
        <f>'Движение ДС Бух'!L27</f>
        <v>0</v>
      </c>
      <c r="M31" s="142">
        <f>'Движение ДС Бух'!M27</f>
        <v>84385.03</v>
      </c>
      <c r="N31" s="142">
        <f>SUM(B31:M31)</f>
        <v>412004.99</v>
      </c>
      <c r="O31" s="144"/>
      <c r="P31" s="145"/>
      <c r="W31" s="142">
        <f>SUM(L31:V31)</f>
        <v>496390.02</v>
      </c>
      <c r="X31" s="144"/>
      <c r="Y31" s="144"/>
    </row>
    <row r="32" spans="1:25" s="122" customFormat="1" x14ac:dyDescent="0.1">
      <c r="A32" s="161" t="s">
        <v>97</v>
      </c>
      <c r="B32" s="142">
        <f>'Движение ДС Бух'!B28</f>
        <v>0</v>
      </c>
      <c r="C32" s="142">
        <f>'Движение ДС Бух'!C28</f>
        <v>0</v>
      </c>
      <c r="D32" s="142">
        <f>'Движение ДС Бух'!D28</f>
        <v>0</v>
      </c>
      <c r="E32" s="142">
        <f>'Движение ДС Бух'!E28</f>
        <v>0</v>
      </c>
      <c r="F32" s="142">
        <f>'Движение ДС Бух'!F28</f>
        <v>0</v>
      </c>
      <c r="G32" s="142">
        <f>'Движение ДС Бух'!G28</f>
        <v>0</v>
      </c>
      <c r="H32" s="142">
        <f>'Движение ДС Бух'!H28</f>
        <v>0</v>
      </c>
      <c r="I32" s="142">
        <f>'Движение ДС Бух'!I28</f>
        <v>0</v>
      </c>
      <c r="J32" s="142">
        <f>'Движение ДС Бух'!J28</f>
        <v>0</v>
      </c>
      <c r="K32" s="142">
        <f>'Движение ДС Бух'!K28</f>
        <v>0</v>
      </c>
      <c r="L32" s="142">
        <f>'Движение ДС Бух'!L28</f>
        <v>0</v>
      </c>
      <c r="M32" s="142">
        <f>'Движение ДС Бух'!M28</f>
        <v>0</v>
      </c>
      <c r="N32" s="142">
        <f>SUM(B32:M32)</f>
        <v>0</v>
      </c>
      <c r="O32" s="144"/>
      <c r="P32" s="145"/>
      <c r="Q32" s="121"/>
      <c r="W32" s="142">
        <f>SUM(L32:V32)</f>
        <v>0</v>
      </c>
      <c r="X32" s="144"/>
      <c r="Y32" s="144"/>
    </row>
    <row r="33" spans="1:26" x14ac:dyDescent="0.1">
      <c r="A33" s="135" t="s">
        <v>6</v>
      </c>
      <c r="B33" s="151"/>
      <c r="C33" s="151"/>
      <c r="D33" s="151"/>
      <c r="E33" s="151"/>
      <c r="F33" s="136"/>
      <c r="G33" s="136"/>
      <c r="H33" s="136"/>
      <c r="I33" s="136"/>
      <c r="J33" s="136"/>
      <c r="K33" s="136"/>
      <c r="L33" s="136"/>
      <c r="M33" s="136"/>
      <c r="N33" s="136"/>
      <c r="O33" s="137"/>
      <c r="P33" s="138"/>
      <c r="W33" s="136"/>
      <c r="X33" s="137"/>
      <c r="Y33" s="137"/>
    </row>
    <row r="34" spans="1:26" x14ac:dyDescent="0.1">
      <c r="A34" s="166" t="s">
        <v>106</v>
      </c>
      <c r="B34" s="133">
        <f t="shared" ref="B34:N34" si="8">SUM(B22:B26)</f>
        <v>1207186.04</v>
      </c>
      <c r="C34" s="133">
        <f t="shared" si="8"/>
        <v>950387.79</v>
      </c>
      <c r="D34" s="133">
        <f t="shared" si="8"/>
        <v>1033394.85</v>
      </c>
      <c r="E34" s="133">
        <f t="shared" si="8"/>
        <v>794427.93</v>
      </c>
      <c r="F34" s="133">
        <f t="shared" si="8"/>
        <v>941129.08</v>
      </c>
      <c r="G34" s="133">
        <f t="shared" si="8"/>
        <v>889606.56</v>
      </c>
      <c r="H34" s="133">
        <f t="shared" si="8"/>
        <v>1380415.05</v>
      </c>
      <c r="I34" s="133">
        <f t="shared" si="8"/>
        <v>1038068.3099999999</v>
      </c>
      <c r="J34" s="133">
        <f t="shared" si="8"/>
        <v>978716.13</v>
      </c>
      <c r="K34" s="133">
        <f t="shared" si="8"/>
        <v>1157609.0899999999</v>
      </c>
      <c r="L34" s="133">
        <f t="shared" si="8"/>
        <v>1584056.12</v>
      </c>
      <c r="M34" s="133">
        <f t="shared" si="8"/>
        <v>944811.48</v>
      </c>
      <c r="N34" s="133">
        <f t="shared" si="8"/>
        <v>12899808.43</v>
      </c>
      <c r="O34" s="133"/>
      <c r="P34" s="134"/>
      <c r="W34" s="133">
        <f>SUM(W22:W26)</f>
        <v>8914411.8200000003</v>
      </c>
      <c r="X34" s="133"/>
      <c r="Y34" s="133"/>
    </row>
    <row r="35" spans="1:26" x14ac:dyDescent="0.1">
      <c r="A35" s="153"/>
      <c r="B35" s="167"/>
      <c r="C35" s="167"/>
      <c r="D35" s="167"/>
      <c r="E35" s="167"/>
      <c r="F35" s="168"/>
      <c r="G35" s="168"/>
      <c r="H35" s="168"/>
      <c r="I35" s="168"/>
      <c r="J35" s="168"/>
      <c r="K35" s="168"/>
      <c r="L35" s="168"/>
      <c r="M35" s="168"/>
      <c r="N35" s="168"/>
      <c r="O35" s="133"/>
      <c r="P35" s="134"/>
      <c r="W35" s="168"/>
      <c r="X35" s="133"/>
      <c r="Y35" s="133"/>
    </row>
    <row r="36" spans="1:26" x14ac:dyDescent="0.1">
      <c r="A36" s="153" t="s">
        <v>76</v>
      </c>
      <c r="B36" s="133">
        <f t="shared" ref="B36:N36" si="9">B34-B18</f>
        <v>-27754.119999999879</v>
      </c>
      <c r="C36" s="133">
        <f t="shared" si="9"/>
        <v>-276961.83000000007</v>
      </c>
      <c r="D36" s="133">
        <f t="shared" si="9"/>
        <v>-129214.31000000017</v>
      </c>
      <c r="E36" s="133">
        <f t="shared" si="9"/>
        <v>-349455.74999999988</v>
      </c>
      <c r="F36" s="133">
        <f t="shared" si="9"/>
        <v>-329015.93000000005</v>
      </c>
      <c r="G36" s="133">
        <f t="shared" si="9"/>
        <v>-229530.68999999994</v>
      </c>
      <c r="H36" s="133">
        <f t="shared" si="9"/>
        <v>59895.489999999991</v>
      </c>
      <c r="I36" s="133">
        <f t="shared" si="9"/>
        <v>-366590.23999999987</v>
      </c>
      <c r="J36" s="133">
        <f t="shared" si="9"/>
        <v>-285089.29000000015</v>
      </c>
      <c r="K36" s="133">
        <f t="shared" si="9"/>
        <v>-480756.98</v>
      </c>
      <c r="L36" s="133">
        <f t="shared" si="9"/>
        <v>403773.92000000016</v>
      </c>
      <c r="M36" s="133">
        <f t="shared" si="9"/>
        <v>-435540.58999999985</v>
      </c>
      <c r="N36" s="133">
        <f t="shared" si="9"/>
        <v>-2446240.3200000003</v>
      </c>
      <c r="O36" s="133"/>
      <c r="P36" s="134"/>
      <c r="W36" s="133">
        <f>W34-W18</f>
        <v>-1662854.3099999987</v>
      </c>
      <c r="X36" s="133"/>
      <c r="Y36" s="133"/>
    </row>
    <row r="37" spans="1:26" x14ac:dyDescent="0.1">
      <c r="A37" s="192" t="s">
        <v>171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W37" s="133">
        <f>W27-W19</f>
        <v>-538694.86999999918</v>
      </c>
      <c r="X37" s="133"/>
      <c r="Y37" s="133"/>
    </row>
    <row r="38" spans="1:26" x14ac:dyDescent="0.1">
      <c r="A38" s="129" t="s">
        <v>74</v>
      </c>
      <c r="B38" s="130">
        <f t="shared" ref="B38:M38" si="10">SUM(B44)</f>
        <v>1146268.8800000001</v>
      </c>
      <c r="C38" s="130">
        <f t="shared" si="10"/>
        <v>950267.54</v>
      </c>
      <c r="D38" s="130">
        <f t="shared" si="10"/>
        <v>1035689.73</v>
      </c>
      <c r="E38" s="130">
        <f t="shared" si="10"/>
        <v>824057.8</v>
      </c>
      <c r="F38" s="130">
        <f t="shared" si="10"/>
        <v>844426.43</v>
      </c>
      <c r="G38" s="130">
        <f t="shared" si="10"/>
        <v>855711.34</v>
      </c>
      <c r="H38" s="130">
        <f t="shared" si="10"/>
        <v>952078.44</v>
      </c>
      <c r="I38" s="130">
        <f t="shared" si="10"/>
        <v>926481.35000000009</v>
      </c>
      <c r="J38" s="130">
        <f t="shared" si="10"/>
        <v>1023322.16</v>
      </c>
      <c r="K38" s="130">
        <f t="shared" si="10"/>
        <v>1218065.53</v>
      </c>
      <c r="L38" s="130">
        <f t="shared" si="10"/>
        <v>1194260.3700000001</v>
      </c>
      <c r="M38" s="130">
        <f t="shared" si="10"/>
        <v>1410122.0799999998</v>
      </c>
      <c r="N38" s="136">
        <f>SUM(B38:M38)</f>
        <v>12380751.65</v>
      </c>
      <c r="O38" s="133"/>
      <c r="P38" s="134"/>
      <c r="W38" s="136">
        <f>SUM(F38:M38)</f>
        <v>8424467.6999999993</v>
      </c>
      <c r="X38" s="133"/>
      <c r="Y38" s="133"/>
    </row>
    <row r="39" spans="1:26" x14ac:dyDescent="0.1">
      <c r="A39" s="169"/>
      <c r="B39" s="151"/>
      <c r="C39" s="151"/>
      <c r="D39" s="151"/>
      <c r="E39" s="151"/>
      <c r="F39" s="136"/>
      <c r="G39" s="136"/>
      <c r="H39" s="136"/>
      <c r="I39" s="136"/>
      <c r="J39" s="136"/>
      <c r="K39" s="136"/>
      <c r="L39" s="136"/>
      <c r="M39" s="136"/>
      <c r="N39" s="136"/>
      <c r="O39" s="137"/>
      <c r="P39" s="138"/>
      <c r="W39" s="136"/>
      <c r="X39" s="137"/>
      <c r="Y39" s="137"/>
    </row>
    <row r="40" spans="1:26" x14ac:dyDescent="0.1">
      <c r="A40" s="129" t="s">
        <v>75</v>
      </c>
      <c r="B40" s="130">
        <f>SUM(B21-B38)</f>
        <v>60917.159999999916</v>
      </c>
      <c r="C40" s="130">
        <f>SUM(C21-C38)</f>
        <v>120.25</v>
      </c>
      <c r="D40" s="130">
        <f>SUM(D21-D38)</f>
        <v>-2294.8800000000047</v>
      </c>
      <c r="E40" s="130">
        <f>SUM(E21-E38)</f>
        <v>-29629.869999999995</v>
      </c>
      <c r="F40" s="130">
        <f>SUM(F21-F38)</f>
        <v>96702.649999999907</v>
      </c>
      <c r="G40" s="130">
        <f>G34-G38</f>
        <v>33895.220000000088</v>
      </c>
      <c r="H40" s="130">
        <f t="shared" ref="H40:N40" si="11">SUM(H34-H44)</f>
        <v>428336.6100000001</v>
      </c>
      <c r="I40" s="130">
        <f t="shared" si="11"/>
        <v>111586.95999999985</v>
      </c>
      <c r="J40" s="130">
        <f t="shared" si="11"/>
        <v>-44606.030000000028</v>
      </c>
      <c r="K40" s="130">
        <f t="shared" si="11"/>
        <v>-60456.440000000177</v>
      </c>
      <c r="L40" s="130">
        <f t="shared" si="11"/>
        <v>389795.75</v>
      </c>
      <c r="M40" s="130">
        <f t="shared" si="11"/>
        <v>-465310.59999999986</v>
      </c>
      <c r="N40" s="130">
        <f t="shared" si="11"/>
        <v>519056.77999999933</v>
      </c>
      <c r="O40" s="133"/>
      <c r="P40" s="134"/>
      <c r="W40" s="130">
        <f>SUM(W34-W44)</f>
        <v>489944.12000000104</v>
      </c>
      <c r="X40" s="133"/>
      <c r="Y40" s="133"/>
    </row>
    <row r="41" spans="1:26" x14ac:dyDescent="0.1">
      <c r="A41" s="129"/>
      <c r="B41" s="129"/>
      <c r="C41" s="129"/>
      <c r="D41" s="129"/>
      <c r="E41" s="129"/>
      <c r="F41" s="130"/>
      <c r="G41" s="130"/>
      <c r="H41" s="130"/>
      <c r="I41" s="130"/>
      <c r="J41" s="130"/>
      <c r="K41" s="130"/>
      <c r="L41" s="130"/>
      <c r="M41" s="130"/>
      <c r="N41" s="130"/>
      <c r="O41" s="133"/>
      <c r="P41" s="134"/>
      <c r="W41" s="130"/>
      <c r="X41" s="133"/>
      <c r="Y41" s="133"/>
    </row>
    <row r="42" spans="1:26" x14ac:dyDescent="0.1">
      <c r="A42" s="129" t="s">
        <v>77</v>
      </c>
      <c r="B42" s="130">
        <f t="shared" ref="B42:H42" si="12">B18-B38</f>
        <v>88671.279999999795</v>
      </c>
      <c r="C42" s="130">
        <f t="shared" si="12"/>
        <v>277082.08000000007</v>
      </c>
      <c r="D42" s="130">
        <f t="shared" si="12"/>
        <v>126919.43000000017</v>
      </c>
      <c r="E42" s="130">
        <f t="shared" si="12"/>
        <v>319825.87999999989</v>
      </c>
      <c r="F42" s="130">
        <f t="shared" si="12"/>
        <v>425718.57999999996</v>
      </c>
      <c r="G42" s="130">
        <f t="shared" si="12"/>
        <v>263425.91000000003</v>
      </c>
      <c r="H42" s="130">
        <f t="shared" si="12"/>
        <v>368441.12000000011</v>
      </c>
      <c r="I42" s="130">
        <f t="shared" ref="I42:N42" si="13">SUM(I18-I44)</f>
        <v>478177.19999999972</v>
      </c>
      <c r="J42" s="130">
        <f t="shared" si="13"/>
        <v>240483.26000000013</v>
      </c>
      <c r="K42" s="130">
        <f t="shared" si="13"/>
        <v>420300.5399999998</v>
      </c>
      <c r="L42" s="130">
        <f t="shared" si="13"/>
        <v>-13978.170000000158</v>
      </c>
      <c r="M42" s="130">
        <f t="shared" si="13"/>
        <v>-29770.010000000009</v>
      </c>
      <c r="N42" s="130">
        <f t="shared" si="13"/>
        <v>2965297.0999999996</v>
      </c>
      <c r="O42" s="144"/>
      <c r="P42" s="145"/>
      <c r="W42" s="130">
        <f>SUM(W18-W44)</f>
        <v>2152798.4299999997</v>
      </c>
      <c r="X42" s="144"/>
      <c r="Y42" s="144"/>
    </row>
    <row r="43" spans="1:26" x14ac:dyDescent="0.1">
      <c r="A43" s="153"/>
      <c r="B43" s="167"/>
      <c r="C43" s="167"/>
      <c r="D43" s="167"/>
      <c r="E43" s="167"/>
      <c r="F43" s="168"/>
      <c r="G43" s="168"/>
      <c r="H43" s="168"/>
      <c r="I43" s="168"/>
      <c r="J43" s="168"/>
      <c r="K43" s="168"/>
      <c r="L43" s="168"/>
      <c r="M43" s="168"/>
      <c r="N43" s="168"/>
      <c r="O43" s="133"/>
      <c r="P43" s="134"/>
      <c r="W43" s="168"/>
      <c r="X43" s="133"/>
      <c r="Y43" s="133"/>
    </row>
    <row r="44" spans="1:26" x14ac:dyDescent="0.1">
      <c r="A44" s="128" t="s">
        <v>166</v>
      </c>
      <c r="B44" s="130">
        <f t="shared" ref="B44:M44" si="14">SUM(B57+B64+B71+B77+B87+B79+B89+B90)</f>
        <v>1146268.8800000001</v>
      </c>
      <c r="C44" s="130">
        <f t="shared" si="14"/>
        <v>950267.54</v>
      </c>
      <c r="D44" s="130">
        <f t="shared" si="14"/>
        <v>1035689.73</v>
      </c>
      <c r="E44" s="130">
        <f t="shared" si="14"/>
        <v>824057.8</v>
      </c>
      <c r="F44" s="130">
        <f t="shared" si="14"/>
        <v>844426.43</v>
      </c>
      <c r="G44" s="130">
        <f t="shared" si="14"/>
        <v>855711.34</v>
      </c>
      <c r="H44" s="130">
        <f t="shared" si="14"/>
        <v>952078.44</v>
      </c>
      <c r="I44" s="130">
        <f t="shared" si="14"/>
        <v>926481.35000000009</v>
      </c>
      <c r="J44" s="130">
        <f t="shared" si="14"/>
        <v>1023322.16</v>
      </c>
      <c r="K44" s="130">
        <f t="shared" si="14"/>
        <v>1218065.53</v>
      </c>
      <c r="L44" s="130">
        <f t="shared" si="14"/>
        <v>1194260.3700000001</v>
      </c>
      <c r="M44" s="130">
        <f t="shared" si="14"/>
        <v>1410122.0799999998</v>
      </c>
      <c r="N44" s="136">
        <f>SUM(B44:M44)</f>
        <v>12380751.65</v>
      </c>
      <c r="O44" s="133"/>
      <c r="P44" s="134"/>
      <c r="Q44" s="170">
        <f>N44-N89-N90</f>
        <v>9058695.9800000004</v>
      </c>
      <c r="R44" s="159" t="s">
        <v>135</v>
      </c>
      <c r="W44" s="133">
        <f>W57+W64+W71+W77+W79+W87+W89+W90</f>
        <v>8424467.6999999993</v>
      </c>
      <c r="X44" s="133"/>
      <c r="Y44" s="171"/>
      <c r="Z44" s="172"/>
    </row>
    <row r="45" spans="1:26" s="176" customFormat="1" x14ac:dyDescent="0.1">
      <c r="A45" s="154" t="s">
        <v>167</v>
      </c>
      <c r="B45" s="173"/>
      <c r="C45" s="173"/>
      <c r="D45" s="173"/>
      <c r="E45" s="173"/>
      <c r="F45" s="156">
        <f t="shared" ref="F45:M45" si="15">F44-F89-F90</f>
        <v>646939.79</v>
      </c>
      <c r="G45" s="156">
        <f t="shared" si="15"/>
        <v>622767.57999999996</v>
      </c>
      <c r="H45" s="156">
        <f t="shared" si="15"/>
        <v>723208.67999999993</v>
      </c>
      <c r="I45" s="156">
        <f t="shared" si="15"/>
        <v>846481.35000000009</v>
      </c>
      <c r="J45" s="156">
        <f t="shared" si="15"/>
        <v>804835.57000000007</v>
      </c>
      <c r="K45" s="156">
        <f t="shared" si="15"/>
        <v>959884.65</v>
      </c>
      <c r="L45" s="156">
        <f t="shared" si="15"/>
        <v>971882.14000000013</v>
      </c>
      <c r="M45" s="156">
        <f t="shared" si="15"/>
        <v>1049651.1499999999</v>
      </c>
      <c r="N45" s="156"/>
      <c r="O45" s="174">
        <v>10567947</v>
      </c>
      <c r="P45" s="158"/>
      <c r="Q45" s="170"/>
      <c r="R45" s="159"/>
      <c r="W45" s="156">
        <f>W44-W89-W90</f>
        <v>6625650.9099999992</v>
      </c>
      <c r="X45" s="174">
        <f>O45/3*2</f>
        <v>7045298</v>
      </c>
      <c r="Y45" s="175">
        <f>X45-W45</f>
        <v>419647.09000000078</v>
      </c>
      <c r="Z45" s="177"/>
    </row>
    <row r="46" spans="1:26" x14ac:dyDescent="0.1">
      <c r="A46" s="128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6"/>
      <c r="O46" s="133"/>
      <c r="P46" s="134"/>
      <c r="Q46" s="170"/>
      <c r="R46" s="159"/>
      <c r="W46" s="133"/>
      <c r="X46" s="133"/>
      <c r="Y46" s="171"/>
      <c r="Z46" s="172"/>
    </row>
    <row r="47" spans="1:26" x14ac:dyDescent="0.1">
      <c r="A47" s="178" t="s">
        <v>46</v>
      </c>
      <c r="B47" s="129"/>
      <c r="C47" s="129"/>
      <c r="D47" s="129"/>
      <c r="E47" s="129"/>
      <c r="F47" s="130"/>
      <c r="G47" s="130"/>
      <c r="H47" s="130"/>
      <c r="I47" s="130"/>
      <c r="J47" s="130"/>
      <c r="K47" s="130"/>
      <c r="L47" s="130"/>
      <c r="M47" s="130"/>
      <c r="N47" s="130"/>
      <c r="O47" s="133"/>
      <c r="P47" s="134"/>
      <c r="W47" s="130"/>
      <c r="X47" s="133"/>
      <c r="Y47" s="133"/>
    </row>
    <row r="48" spans="1:26" ht="19.5" x14ac:dyDescent="0.1">
      <c r="A48" s="179" t="s">
        <v>47</v>
      </c>
      <c r="B48" s="148">
        <f>'Движение ДС Бух'!B43+'Моторный '!B43</f>
        <v>15000</v>
      </c>
      <c r="C48" s="148">
        <f>'Движение ДС Бух'!C43+'Моторный '!C43</f>
        <v>15000</v>
      </c>
      <c r="D48" s="148">
        <f>'Движение ДС Бух'!D43+'Моторный '!D43</f>
        <v>15000</v>
      </c>
      <c r="E48" s="148">
        <f>'Движение ДС Бух'!E43+'Моторный '!E43</f>
        <v>17000</v>
      </c>
      <c r="F48" s="148">
        <f>'Движение ДС Бух'!F43+'Моторный '!F43</f>
        <v>18000</v>
      </c>
      <c r="G48" s="148">
        <f>'Движение ДС Бух'!G43+'Моторный '!G43</f>
        <v>23000</v>
      </c>
      <c r="H48" s="148">
        <f>'Движение ДС Бух'!H43+'Моторный '!H43</f>
        <v>26000</v>
      </c>
      <c r="I48" s="148">
        <f>'Движение ДС Бух'!I43+'Моторный '!I43</f>
        <v>21070</v>
      </c>
      <c r="J48" s="148">
        <f>'Движение ДС Бух'!J43+'Моторный '!J43</f>
        <v>27000</v>
      </c>
      <c r="K48" s="148">
        <f>'Движение ДС Бух'!K43+'Моторный '!K43</f>
        <v>25500</v>
      </c>
      <c r="L48" s="148">
        <f>'Движение ДС Бух'!L43+'Моторный '!L43</f>
        <v>21000</v>
      </c>
      <c r="M48" s="148">
        <f>'Движение ДС Бух'!M43+'Моторный '!M43</f>
        <v>74050</v>
      </c>
      <c r="N48" s="142">
        <f>SUM(B48:M48)</f>
        <v>297620</v>
      </c>
      <c r="O48" s="180">
        <v>180000</v>
      </c>
      <c r="P48" s="181"/>
      <c r="W48" s="142">
        <f t="shared" ref="W48:W57" si="16">SUM(F48:M48)</f>
        <v>235620</v>
      </c>
      <c r="X48" s="180">
        <f t="shared" ref="X48:X57" si="17">O48/12*8</f>
        <v>120000</v>
      </c>
      <c r="Y48" s="180">
        <f t="shared" ref="Y48:Y57" si="18">X48-W48</f>
        <v>-115620</v>
      </c>
    </row>
    <row r="49" spans="1:25" ht="19.5" x14ac:dyDescent="0.1">
      <c r="A49" s="179" t="s">
        <v>48</v>
      </c>
      <c r="B49" s="148">
        <f>'Движение ДС Бух'!B44+'Моторный '!B44</f>
        <v>7360.76</v>
      </c>
      <c r="C49" s="148">
        <f>'Движение ДС Бух'!C44+'Моторный '!C44</f>
        <v>4401</v>
      </c>
      <c r="D49" s="148">
        <f>'Движение ДС Бух'!D44+'Моторный '!D44</f>
        <v>3253</v>
      </c>
      <c r="E49" s="148">
        <f>'Движение ДС Бух'!E44+'Моторный '!E44</f>
        <v>2035</v>
      </c>
      <c r="F49" s="148">
        <f>'Движение ДС Бух'!F44+'Моторный '!F44</f>
        <v>8908.2000000000007</v>
      </c>
      <c r="G49" s="148">
        <f>'Движение ДС Бух'!G44+'Моторный '!G44</f>
        <v>6059</v>
      </c>
      <c r="H49" s="148">
        <f>'Движение ДС Бух'!H44+'Моторный '!H44</f>
        <v>6288.33</v>
      </c>
      <c r="I49" s="148">
        <f>'Движение ДС Бух'!I44+'Моторный '!I44</f>
        <v>50854.5</v>
      </c>
      <c r="J49" s="148">
        <f>'Движение ДС Бух'!J44+'Моторный '!J44</f>
        <v>17789</v>
      </c>
      <c r="K49" s="148">
        <f>'Движение ДС Бух'!K44+'Моторный '!K44</f>
        <v>16371.61</v>
      </c>
      <c r="L49" s="148">
        <f>'Движение ДС Бух'!L44+'Моторный '!L44</f>
        <v>36908.06</v>
      </c>
      <c r="M49" s="148">
        <f>'Движение ДС Бух'!M44+'Моторный '!M44</f>
        <v>41242.949999999997</v>
      </c>
      <c r="N49" s="142">
        <f t="shared" ref="N49:N56" si="19">SUM(B49:M49)</f>
        <v>201471.41000000003</v>
      </c>
      <c r="O49" s="180">
        <v>100000</v>
      </c>
      <c r="P49" s="181"/>
      <c r="W49" s="142">
        <f t="shared" si="16"/>
        <v>184421.65000000002</v>
      </c>
      <c r="X49" s="180">
        <f t="shared" si="17"/>
        <v>66666.666666666672</v>
      </c>
      <c r="Y49" s="180">
        <f t="shared" si="18"/>
        <v>-117754.98333333335</v>
      </c>
    </row>
    <row r="50" spans="1:25" x14ac:dyDescent="0.1">
      <c r="A50" s="143" t="s">
        <v>49</v>
      </c>
      <c r="B50" s="148">
        <f>'Движение ДС Бух'!B45+'Моторный '!B45</f>
        <v>0</v>
      </c>
      <c r="C50" s="148">
        <f>'Движение ДС Бух'!C45+'Моторный '!C45</f>
        <v>4375</v>
      </c>
      <c r="D50" s="148">
        <f>'Движение ДС Бух'!D45+'Моторный '!D45</f>
        <v>3105</v>
      </c>
      <c r="E50" s="148">
        <f>'Движение ДС Бух'!E45+'Моторный '!E45</f>
        <v>963</v>
      </c>
      <c r="F50" s="148">
        <f>'Движение ДС Бух'!F45+'Моторный '!F45</f>
        <v>21926</v>
      </c>
      <c r="G50" s="148">
        <f>'Движение ДС Бух'!G45+'Моторный '!G45</f>
        <v>7043</v>
      </c>
      <c r="H50" s="148">
        <f>'Движение ДС Бух'!H45+'Моторный '!H45</f>
        <v>7480</v>
      </c>
      <c r="I50" s="148">
        <f>'Движение ДС Бух'!I45+'Моторный '!I45</f>
        <v>5350</v>
      </c>
      <c r="J50" s="148">
        <f>'Движение ДС Бух'!J45+'Моторный '!J45</f>
        <v>36715</v>
      </c>
      <c r="K50" s="148">
        <f>'Движение ДС Бух'!K45+'Моторный '!K45</f>
        <v>37978.69</v>
      </c>
      <c r="L50" s="148">
        <f>'Движение ДС Бух'!L45+'Моторный '!L45</f>
        <v>10327.64</v>
      </c>
      <c r="M50" s="148">
        <f>'Движение ДС Бух'!M45+'Моторный '!M45</f>
        <v>10700</v>
      </c>
      <c r="N50" s="142">
        <f t="shared" si="19"/>
        <v>145963.33000000002</v>
      </c>
      <c r="O50" s="144">
        <v>80000</v>
      </c>
      <c r="P50" s="181"/>
      <c r="W50" s="142">
        <f t="shared" si="16"/>
        <v>137520.33000000002</v>
      </c>
      <c r="X50" s="180">
        <f t="shared" si="17"/>
        <v>53333.333333333336</v>
      </c>
      <c r="Y50" s="180">
        <f t="shared" si="18"/>
        <v>-84186.996666666673</v>
      </c>
    </row>
    <row r="51" spans="1:25" x14ac:dyDescent="0.1">
      <c r="A51" s="143" t="s">
        <v>50</v>
      </c>
      <c r="B51" s="148">
        <f>'Движение ДС Бух'!B46+'Моторный '!B46</f>
        <v>0</v>
      </c>
      <c r="C51" s="148">
        <f>'Движение ДС Бух'!C46+'Моторный '!C46</f>
        <v>0</v>
      </c>
      <c r="D51" s="148">
        <f>'Движение ДС Бух'!D46+'Моторный '!D46</f>
        <v>289</v>
      </c>
      <c r="E51" s="148">
        <f>'Движение ДС Бух'!E46+'Моторный '!E46</f>
        <v>7307.5</v>
      </c>
      <c r="F51" s="148">
        <f>'Движение ДС Бух'!F46+'Моторный '!F46</f>
        <v>6557.1</v>
      </c>
      <c r="G51" s="148">
        <f>'Движение ДС Бух'!G46+'Моторный '!G46</f>
        <v>8984</v>
      </c>
      <c r="H51" s="148">
        <f>'Движение ДС Бух'!H46+'Моторный '!H46</f>
        <v>2187</v>
      </c>
      <c r="I51" s="148">
        <f>'Движение ДС Бух'!I46+'Моторный '!I46</f>
        <v>1467</v>
      </c>
      <c r="J51" s="148">
        <f>'Движение ДС Бух'!J46+'Моторный '!J46</f>
        <v>0</v>
      </c>
      <c r="K51" s="148">
        <f>'Движение ДС Бух'!K46+'Моторный '!K46</f>
        <v>9283.27</v>
      </c>
      <c r="L51" s="148">
        <f>'Движение ДС Бух'!L46+'Моторный '!L46</f>
        <v>0</v>
      </c>
      <c r="M51" s="148">
        <f>'Движение ДС Бух'!M46+'Моторный '!M46</f>
        <v>0</v>
      </c>
      <c r="N51" s="142">
        <f t="shared" si="19"/>
        <v>36074.869999999995</v>
      </c>
      <c r="O51" s="144">
        <v>80000</v>
      </c>
      <c r="P51" s="181"/>
      <c r="W51" s="142">
        <f t="shared" si="16"/>
        <v>28478.37</v>
      </c>
      <c r="X51" s="180">
        <f t="shared" si="17"/>
        <v>53333.333333333336</v>
      </c>
      <c r="Y51" s="180">
        <f t="shared" si="18"/>
        <v>24854.963333333337</v>
      </c>
    </row>
    <row r="52" spans="1:25" x14ac:dyDescent="0.1">
      <c r="A52" s="143" t="s">
        <v>51</v>
      </c>
      <c r="B52" s="148">
        <f>'Движение ДС Бух'!B47+'Моторный '!B47</f>
        <v>0</v>
      </c>
      <c r="C52" s="148">
        <f>'Движение ДС Бух'!C47+'Моторный '!C47</f>
        <v>0</v>
      </c>
      <c r="D52" s="148">
        <f>'Движение ДС Бух'!D47+'Моторный '!D47</f>
        <v>0</v>
      </c>
      <c r="E52" s="148">
        <f>'Движение ДС Бух'!E47+'Моторный '!E47</f>
        <v>251</v>
      </c>
      <c r="F52" s="148">
        <f>'Движение ДС Бух'!F47+'Моторный '!F47</f>
        <v>21949</v>
      </c>
      <c r="G52" s="148">
        <f>'Движение ДС Бух'!G47+'Моторный '!G47</f>
        <v>11648.3</v>
      </c>
      <c r="H52" s="148">
        <f>'Движение ДС Бух'!H47+'Моторный '!H47</f>
        <v>38823</v>
      </c>
      <c r="I52" s="148">
        <f>'Движение ДС Бух'!I47+'Моторный '!I47</f>
        <v>25000</v>
      </c>
      <c r="J52" s="148">
        <f>'Движение ДС Бух'!J47+'Моторный '!J47</f>
        <v>8281</v>
      </c>
      <c r="K52" s="148">
        <f>'Движение ДС Бух'!K47+'Моторный '!K47</f>
        <v>5625</v>
      </c>
      <c r="L52" s="148">
        <f>'Движение ДС Бух'!L47+'Моторный '!L47</f>
        <v>0</v>
      </c>
      <c r="M52" s="148">
        <f>'Движение ДС Бух'!M47+'Моторный '!M47</f>
        <v>2770.23</v>
      </c>
      <c r="N52" s="142">
        <f t="shared" si="19"/>
        <v>114347.53</v>
      </c>
      <c r="O52" s="144">
        <v>70000</v>
      </c>
      <c r="P52" s="181"/>
      <c r="W52" s="142">
        <f t="shared" si="16"/>
        <v>114096.53</v>
      </c>
      <c r="X52" s="180">
        <f t="shared" si="17"/>
        <v>46666.666666666664</v>
      </c>
      <c r="Y52" s="180">
        <f t="shared" si="18"/>
        <v>-67429.863333333342</v>
      </c>
    </row>
    <row r="53" spans="1:25" x14ac:dyDescent="0.1">
      <c r="A53" s="143" t="s">
        <v>52</v>
      </c>
      <c r="B53" s="148">
        <f>'Движение ДС Бух'!B48+'Моторный '!B48</f>
        <v>87740</v>
      </c>
      <c r="C53" s="148">
        <f>'Движение ДС Бух'!C48+'Моторный '!C48</f>
        <v>91485</v>
      </c>
      <c r="D53" s="148">
        <f>'Движение ДС Бух'!D48+'Моторный '!D48</f>
        <v>97156</v>
      </c>
      <c r="E53" s="148">
        <f>'Движение ДС Бух'!E48+'Моторный '!E48</f>
        <v>101115</v>
      </c>
      <c r="F53" s="148">
        <f>'Движение ДС Бух'!F48+'Моторный '!F48</f>
        <v>111986</v>
      </c>
      <c r="G53" s="148">
        <f>'Движение ДС Бух'!G48+'Моторный '!G48</f>
        <v>108241</v>
      </c>
      <c r="H53" s="148">
        <f>'Движение ДС Бух'!H48+'Моторный '!H48</f>
        <v>115410</v>
      </c>
      <c r="I53" s="148">
        <f>'Движение ДС Бух'!I48+'Моторный '!I48</f>
        <v>116052</v>
      </c>
      <c r="J53" s="148">
        <f>'Движение ДС Бух'!J48+'Моторный '!J48</f>
        <v>114500</v>
      </c>
      <c r="K53" s="148">
        <f>'Движение ДС Бух'!K48+'Моторный '!K48</f>
        <v>110327</v>
      </c>
      <c r="L53" s="148">
        <f>'Движение ДС Бух'!L48+'Моторный '!L48</f>
        <v>109525.2</v>
      </c>
      <c r="M53" s="148">
        <f>'Движение ДС Бух'!M48+'Моторный '!M48</f>
        <v>115945</v>
      </c>
      <c r="N53" s="142">
        <f t="shared" si="19"/>
        <v>1279482.2</v>
      </c>
      <c r="O53" s="144">
        <v>1355347</v>
      </c>
      <c r="P53" s="181"/>
      <c r="W53" s="142">
        <f t="shared" si="16"/>
        <v>901986.2</v>
      </c>
      <c r="X53" s="180">
        <f t="shared" si="17"/>
        <v>903564.66666666663</v>
      </c>
      <c r="Y53" s="180">
        <f t="shared" si="18"/>
        <v>1578.4666666666744</v>
      </c>
    </row>
    <row r="54" spans="1:25" x14ac:dyDescent="0.1">
      <c r="A54" s="143" t="s">
        <v>53</v>
      </c>
      <c r="B54" s="148">
        <f>'Движение ДС Бух'!B49+'Моторный '!B49</f>
        <v>0</v>
      </c>
      <c r="C54" s="148">
        <f>'Движение ДС Бух'!C49+'Моторный '!C49</f>
        <v>0</v>
      </c>
      <c r="D54" s="148">
        <f>'Движение ДС Бух'!D49+'Моторный '!D49</f>
        <v>0</v>
      </c>
      <c r="E54" s="148">
        <f>'Движение ДС Бух'!E49+'Моторный '!E49</f>
        <v>0</v>
      </c>
      <c r="F54" s="148">
        <f>'Движение ДС Бух'!F49+'Моторный '!F49</f>
        <v>0</v>
      </c>
      <c r="G54" s="148">
        <f>'Движение ДС Бух'!G49+'Моторный '!G49</f>
        <v>0</v>
      </c>
      <c r="H54" s="148">
        <f>'Движение ДС Бух'!H49+'Моторный '!H49</f>
        <v>0</v>
      </c>
      <c r="I54" s="148">
        <f>'Движение ДС Бух'!I49+'Моторный '!I49</f>
        <v>37450</v>
      </c>
      <c r="J54" s="148">
        <f>'Движение ДС Бух'!J49+'Моторный '!J49</f>
        <v>23537</v>
      </c>
      <c r="K54" s="148">
        <f>'Движение ДС Бух'!K49+'Моторный '!K49</f>
        <v>0</v>
      </c>
      <c r="L54" s="148">
        <f>'Движение ДС Бух'!L49+'Моторный '!L49</f>
        <v>0</v>
      </c>
      <c r="M54" s="148">
        <f>'Движение ДС Бух'!M49+'Моторный '!M49</f>
        <v>0</v>
      </c>
      <c r="N54" s="142">
        <f t="shared" si="19"/>
        <v>60987</v>
      </c>
      <c r="O54" s="144">
        <v>60000</v>
      </c>
      <c r="P54" s="181"/>
      <c r="W54" s="142">
        <f t="shared" si="16"/>
        <v>60987</v>
      </c>
      <c r="X54" s="180">
        <f t="shared" si="17"/>
        <v>40000</v>
      </c>
      <c r="Y54" s="180">
        <f t="shared" si="18"/>
        <v>-20987</v>
      </c>
    </row>
    <row r="55" spans="1:25" x14ac:dyDescent="0.1">
      <c r="A55" s="143" t="s">
        <v>54</v>
      </c>
      <c r="B55" s="148">
        <f>'Движение ДС Бух'!B50+'Моторный '!B50</f>
        <v>50290</v>
      </c>
      <c r="C55" s="148">
        <f>'Движение ДС Бух'!C50+'Моторный '!C50</f>
        <v>17334</v>
      </c>
      <c r="D55" s="148">
        <f>'Движение ДС Бух'!D50+'Моторный '!D50</f>
        <v>3000</v>
      </c>
      <c r="E55" s="148">
        <f>'Движение ДС Бух'!E50+'Моторный '!E50</f>
        <v>0</v>
      </c>
      <c r="F55" s="148">
        <f>'Движение ДС Бух'!F50+'Моторный '!F50</f>
        <v>635</v>
      </c>
      <c r="G55" s="148">
        <f>'Движение ДС Бух'!G50+'Моторный '!G50</f>
        <v>0</v>
      </c>
      <c r="H55" s="148">
        <f>'Движение ДС Бух'!H50+'Моторный '!H50</f>
        <v>0</v>
      </c>
      <c r="I55" s="148">
        <f>'Движение ДС Бух'!I50+'Моторный '!I50</f>
        <v>4291</v>
      </c>
      <c r="J55" s="148">
        <f>'Движение ДС Бух'!J50+'Моторный '!J50</f>
        <v>10700</v>
      </c>
      <c r="K55" s="148">
        <f>'Движение ДС Бух'!K50+'Моторный '!K50</f>
        <v>0</v>
      </c>
      <c r="L55" s="148">
        <f>'Движение ДС Бух'!L50+'Моторный '!L50</f>
        <v>3745</v>
      </c>
      <c r="M55" s="148">
        <f>'Движение ДС Бух'!M50+'Моторный '!M50</f>
        <v>19857.059999999998</v>
      </c>
      <c r="N55" s="142">
        <f t="shared" si="19"/>
        <v>109852.06</v>
      </c>
      <c r="O55" s="144">
        <v>120000</v>
      </c>
      <c r="P55" s="181"/>
      <c r="W55" s="142">
        <f t="shared" si="16"/>
        <v>39228.06</v>
      </c>
      <c r="X55" s="180">
        <f t="shared" si="17"/>
        <v>80000</v>
      </c>
      <c r="Y55" s="180">
        <f t="shared" si="18"/>
        <v>40771.94</v>
      </c>
    </row>
    <row r="56" spans="1:25" x14ac:dyDescent="0.1">
      <c r="A56" s="143" t="s">
        <v>55</v>
      </c>
      <c r="B56" s="148">
        <f>'Движение ДС Бух'!B51+'Моторный '!B51</f>
        <v>856</v>
      </c>
      <c r="C56" s="148">
        <f>'Движение ДС Бух'!C51+'Моторный '!C51</f>
        <v>8328.92</v>
      </c>
      <c r="D56" s="148">
        <f>'Движение ДС Бух'!D51+'Моторный '!D51</f>
        <v>0</v>
      </c>
      <c r="E56" s="148">
        <f>'Движение ДС Бух'!E51+'Моторный '!E51</f>
        <v>0</v>
      </c>
      <c r="F56" s="148">
        <f>'Движение ДС Бух'!F51+'Моторный '!F51</f>
        <v>0</v>
      </c>
      <c r="G56" s="148">
        <f>'Движение ДС Бух'!G51+'Моторный '!G51</f>
        <v>0</v>
      </c>
      <c r="H56" s="148">
        <f>'Движение ДС Бух'!H51+'Моторный '!H51</f>
        <v>17340</v>
      </c>
      <c r="I56" s="148">
        <f>'Движение ДС Бух'!I51+'Моторный '!I51</f>
        <v>2449</v>
      </c>
      <c r="J56" s="148">
        <f>'Движение ДС Бух'!J51+'Моторный '!J51</f>
        <v>3210</v>
      </c>
      <c r="K56" s="148">
        <f>'Движение ДС Бух'!K51+'Моторный '!K51</f>
        <v>0</v>
      </c>
      <c r="L56" s="148">
        <f>'Движение ДС Бух'!L51+'Моторный '!L51</f>
        <v>0</v>
      </c>
      <c r="M56" s="148">
        <f>'Движение ДС Бух'!M51+'Моторный '!M51</f>
        <v>0</v>
      </c>
      <c r="N56" s="142">
        <f t="shared" si="19"/>
        <v>32183.919999999998</v>
      </c>
      <c r="O56" s="144">
        <v>70000</v>
      </c>
      <c r="P56" s="181"/>
      <c r="W56" s="142">
        <f t="shared" si="16"/>
        <v>22999</v>
      </c>
      <c r="X56" s="180">
        <f t="shared" si="17"/>
        <v>46666.666666666664</v>
      </c>
      <c r="Y56" s="180">
        <f t="shared" si="18"/>
        <v>23667.666666666664</v>
      </c>
    </row>
    <row r="57" spans="1:25" x14ac:dyDescent="0.1">
      <c r="A57" s="151" t="s">
        <v>56</v>
      </c>
      <c r="B57" s="151">
        <f t="shared" ref="B57:G57" si="20">SUM(B48:B56)</f>
        <v>161246.76</v>
      </c>
      <c r="C57" s="151">
        <f t="shared" si="20"/>
        <v>140923.92000000001</v>
      </c>
      <c r="D57" s="151">
        <f t="shared" si="20"/>
        <v>121803</v>
      </c>
      <c r="E57" s="151">
        <f t="shared" si="20"/>
        <v>128671.5</v>
      </c>
      <c r="F57" s="136">
        <f t="shared" si="20"/>
        <v>189961.3</v>
      </c>
      <c r="G57" s="136">
        <f t="shared" si="20"/>
        <v>164975.29999999999</v>
      </c>
      <c r="H57" s="136">
        <f t="shared" ref="H57:M57" si="21">SUM(H48:H56)</f>
        <v>213528.33000000002</v>
      </c>
      <c r="I57" s="136">
        <f t="shared" si="21"/>
        <v>263983.5</v>
      </c>
      <c r="J57" s="136">
        <f>SUM(J48:J56)</f>
        <v>241732</v>
      </c>
      <c r="K57" s="136">
        <f t="shared" si="21"/>
        <v>205085.57</v>
      </c>
      <c r="L57" s="136">
        <f t="shared" si="21"/>
        <v>181505.9</v>
      </c>
      <c r="M57" s="136">
        <f t="shared" si="21"/>
        <v>264565.24</v>
      </c>
      <c r="N57" s="136">
        <f>SUM(B57:M57)</f>
        <v>2277982.3200000003</v>
      </c>
      <c r="O57" s="136">
        <f>SUM(O48:O56)</f>
        <v>2115347</v>
      </c>
      <c r="P57" s="182"/>
      <c r="W57" s="136">
        <f t="shared" si="16"/>
        <v>1725337.14</v>
      </c>
      <c r="X57" s="171">
        <f t="shared" si="17"/>
        <v>1410231.3333333333</v>
      </c>
      <c r="Y57" s="171">
        <f t="shared" si="18"/>
        <v>-315105.80666666664</v>
      </c>
    </row>
    <row r="58" spans="1:25" x14ac:dyDescent="0.1">
      <c r="A58" s="151"/>
      <c r="B58" s="151"/>
      <c r="C58" s="151"/>
      <c r="D58" s="151"/>
      <c r="E58" s="151"/>
      <c r="F58" s="136"/>
      <c r="G58" s="136"/>
      <c r="H58" s="136"/>
      <c r="I58" s="136"/>
      <c r="J58" s="136"/>
      <c r="K58" s="136"/>
      <c r="L58" s="136"/>
      <c r="M58" s="136"/>
      <c r="N58" s="136"/>
      <c r="O58" s="137"/>
      <c r="P58" s="181"/>
      <c r="W58" s="136"/>
      <c r="X58" s="137"/>
      <c r="Y58" s="180"/>
    </row>
    <row r="59" spans="1:25" x14ac:dyDescent="0.1">
      <c r="A59" s="169" t="s">
        <v>57</v>
      </c>
      <c r="B59" s="151"/>
      <c r="C59" s="151"/>
      <c r="D59" s="151"/>
      <c r="E59" s="151"/>
      <c r="F59" s="136"/>
      <c r="G59" s="136"/>
      <c r="H59" s="136"/>
      <c r="I59" s="136"/>
      <c r="J59" s="136"/>
      <c r="K59" s="136"/>
      <c r="L59" s="136"/>
      <c r="M59" s="136"/>
      <c r="N59" s="136"/>
      <c r="O59" s="137"/>
      <c r="P59" s="181"/>
      <c r="W59" s="136"/>
      <c r="X59" s="137"/>
      <c r="Y59" s="180"/>
    </row>
    <row r="60" spans="1:25" ht="19.5" x14ac:dyDescent="0.1">
      <c r="A60" s="183" t="s">
        <v>58</v>
      </c>
      <c r="B60" s="148">
        <f>'Движение ДС Бух'!B55+'Моторный '!B55</f>
        <v>28685.03</v>
      </c>
      <c r="C60" s="148">
        <f>'Движение ДС Бух'!C55+'Моторный '!C55</f>
        <v>16078.16</v>
      </c>
      <c r="D60" s="148">
        <f>'Движение ДС Бух'!D55+'Моторный '!D55</f>
        <v>19136.32</v>
      </c>
      <c r="E60" s="148">
        <f>'Движение ДС Бух'!E55+'Моторный '!E55</f>
        <v>26823</v>
      </c>
      <c r="F60" s="148">
        <f>'Движение ДС Бух'!F55+'Моторный '!F55</f>
        <v>19198.16</v>
      </c>
      <c r="G60" s="148">
        <f>'Движение ДС Бух'!G55+'Моторный '!G55</f>
        <v>37297.160000000003</v>
      </c>
      <c r="H60" s="148">
        <f>'Движение ДС Бух'!H55+'Моторный '!H55</f>
        <v>58838.17</v>
      </c>
      <c r="I60" s="148">
        <f>'Движение ДС Бух'!I55+'Моторный '!I55</f>
        <v>23478.17</v>
      </c>
      <c r="J60" s="148">
        <f>'Движение ДС Бух'!J55+'Моторный '!J55</f>
        <v>55060</v>
      </c>
      <c r="K60" s="148">
        <f>'Движение ДС Бух'!K55+'Моторный '!K55</f>
        <v>47280.71</v>
      </c>
      <c r="L60" s="148">
        <f>'Движение ДС Бух'!L55+'Моторный '!L55</f>
        <v>47989.17</v>
      </c>
      <c r="M60" s="148">
        <f>'Движение ДС Бух'!M55+'Моторный '!M55</f>
        <v>22408.16</v>
      </c>
      <c r="N60" s="142">
        <f>SUM(B60:M60)</f>
        <v>402272.20999999996</v>
      </c>
      <c r="O60" s="144">
        <v>410500</v>
      </c>
      <c r="P60" s="181"/>
      <c r="W60" s="142">
        <f>SUM(F60:M60)</f>
        <v>311549.69999999995</v>
      </c>
      <c r="X60" s="180">
        <f>O60/12*8</f>
        <v>273666.66666666669</v>
      </c>
      <c r="Y60" s="180">
        <f>X60-W60</f>
        <v>-37883.033333333267</v>
      </c>
    </row>
    <row r="61" spans="1:25" ht="19.5" x14ac:dyDescent="0.1">
      <c r="A61" s="183" t="s">
        <v>59</v>
      </c>
      <c r="B61" s="148">
        <f>'Движение ДС Бух'!B56+'Моторный '!B56</f>
        <v>11770</v>
      </c>
      <c r="C61" s="148">
        <f>'Движение ДС Бух'!C56+'Моторный '!C56</f>
        <v>11770</v>
      </c>
      <c r="D61" s="148">
        <f>'Движение ДС Бух'!D56+'Моторный '!D56</f>
        <v>11770</v>
      </c>
      <c r="E61" s="148">
        <f>'Движение ДС Бух'!E56+'Моторный '!E56</f>
        <v>12084</v>
      </c>
      <c r="F61" s="148">
        <f>'Движение ДС Бух'!F56+'Моторный '!F56</f>
        <v>41806</v>
      </c>
      <c r="G61" s="148">
        <f>'Движение ДС Бух'!G56+'Моторный '!G56</f>
        <v>19260</v>
      </c>
      <c r="H61" s="148">
        <f>'Движение ДС Бух'!H56+'Моторный '!H56</f>
        <v>19260</v>
      </c>
      <c r="I61" s="148">
        <f>'Движение ДС Бух'!I56+'Моторный '!I56</f>
        <v>19937</v>
      </c>
      <c r="J61" s="148">
        <f>'Движение ДС Бух'!J56+'Моторный '!J56</f>
        <v>35532</v>
      </c>
      <c r="K61" s="148">
        <f>'Движение ДС Бух'!K56+'Моторный '!K56</f>
        <v>19260</v>
      </c>
      <c r="L61" s="148">
        <f>'Движение ДС Бух'!L56+'Моторный '!L56</f>
        <v>19260</v>
      </c>
      <c r="M61" s="148">
        <f>'Движение ДС Бух'!M56+'Моторный '!M56</f>
        <v>19260</v>
      </c>
      <c r="N61" s="142">
        <f>SUM(B61:M61)</f>
        <v>240969</v>
      </c>
      <c r="O61" s="144">
        <v>385800</v>
      </c>
      <c r="P61" s="181"/>
      <c r="W61" s="142">
        <f>SUM(F61:M61)</f>
        <v>193575</v>
      </c>
      <c r="X61" s="180">
        <f>O61/12*8</f>
        <v>257200</v>
      </c>
      <c r="Y61" s="180">
        <f>X61-W61</f>
        <v>63625</v>
      </c>
    </row>
    <row r="62" spans="1:25" ht="28.5" x14ac:dyDescent="0.1">
      <c r="A62" s="179" t="s">
        <v>60</v>
      </c>
      <c r="B62" s="148">
        <f>'Движение ДС Бух'!B57+'Моторный '!B57</f>
        <v>55000</v>
      </c>
      <c r="C62" s="148">
        <f>'Движение ДС Бух'!C57+'Моторный '!C57</f>
        <v>52000</v>
      </c>
      <c r="D62" s="148">
        <f>'Движение ДС Бух'!D57+'Моторный '!D57</f>
        <v>36000</v>
      </c>
      <c r="E62" s="148">
        <f>'Движение ДС Бух'!E57+'Моторный '!E57</f>
        <v>41000</v>
      </c>
      <c r="F62" s="148">
        <f>'Движение ДС Бух'!F57+'Моторный '!F57</f>
        <v>33000</v>
      </c>
      <c r="G62" s="148">
        <f>'Движение ДС Бух'!G57+'Моторный '!G57</f>
        <v>50000</v>
      </c>
      <c r="H62" s="148">
        <f>'Движение ДС Бух'!H57+'Моторный '!H57</f>
        <v>90000</v>
      </c>
      <c r="I62" s="148">
        <f>'Движение ДС Бух'!I57+'Моторный '!I57</f>
        <v>55000</v>
      </c>
      <c r="J62" s="148">
        <f>'Движение ДС Бух'!J57+'Моторный '!J57</f>
        <v>42648</v>
      </c>
      <c r="K62" s="148">
        <f>'Движение ДС Бух'!K57+'Моторный '!K57</f>
        <v>107099</v>
      </c>
      <c r="L62" s="148">
        <f>'Движение ДС Бух'!L57+'Моторный '!L57</f>
        <v>68798</v>
      </c>
      <c r="M62" s="148">
        <f>'Движение ДС Бух'!M57+'Моторный '!M57</f>
        <v>56000</v>
      </c>
      <c r="N62" s="142">
        <f>SUM(B62:M62)</f>
        <v>686545</v>
      </c>
      <c r="O62" s="144">
        <v>725500</v>
      </c>
      <c r="P62" s="181"/>
      <c r="W62" s="142">
        <f>SUM(F62:M62)</f>
        <v>502545</v>
      </c>
      <c r="X62" s="180">
        <f>O62/12*8</f>
        <v>483666.66666666669</v>
      </c>
      <c r="Y62" s="180">
        <f>X62-W62</f>
        <v>-18878.333333333314</v>
      </c>
    </row>
    <row r="63" spans="1:25" x14ac:dyDescent="0.1">
      <c r="A63" s="143" t="s">
        <v>61</v>
      </c>
      <c r="B63" s="148">
        <f>'Движение ДС Бух'!B58+'Моторный '!B58</f>
        <v>71455</v>
      </c>
      <c r="C63" s="148">
        <f>'Движение ДС Бух'!C58+'Моторный '!C58</f>
        <v>71455</v>
      </c>
      <c r="D63" s="148">
        <f>'Движение ДС Бух'!D58+'Моторный '!D58</f>
        <v>65325</v>
      </c>
      <c r="E63" s="148">
        <f>'Движение ДС Бух'!E58+'Моторный '!E58</f>
        <v>66975</v>
      </c>
      <c r="F63" s="148">
        <f>'Движение ДС Бух'!F58+'Моторный '!F58</f>
        <v>71550</v>
      </c>
      <c r="G63" s="148">
        <f>'Движение ДС Бух'!G58+'Моторный '!G58</f>
        <v>82550</v>
      </c>
      <c r="H63" s="148">
        <f>'Движение ДС Бух'!H58+'Моторный '!H58</f>
        <v>82550</v>
      </c>
      <c r="I63" s="148">
        <f>'Движение ДС Бух'!I58+'Моторный '!I58</f>
        <v>77975</v>
      </c>
      <c r="J63" s="148">
        <f>'Движение ДС Бух'!J58+'Моторный '!J58</f>
        <v>69650</v>
      </c>
      <c r="K63" s="148">
        <f>'Движение ДС Бух'!K58+'Моторный '!K58</f>
        <v>66680</v>
      </c>
      <c r="L63" s="148">
        <f>'Движение ДС Бух'!L58+'Моторный '!L58</f>
        <v>61300</v>
      </c>
      <c r="M63" s="148">
        <f>'Движение ДС Бух'!M58+'Моторный '!M58</f>
        <v>65390</v>
      </c>
      <c r="N63" s="142">
        <f>SUM(B63:M63)</f>
        <v>852855</v>
      </c>
      <c r="O63" s="144">
        <v>980000</v>
      </c>
      <c r="P63" s="181"/>
      <c r="W63" s="142">
        <f>SUM(F63:M63)</f>
        <v>577645</v>
      </c>
      <c r="X63" s="180">
        <f>O63/12*8</f>
        <v>653333.33333333337</v>
      </c>
      <c r="Y63" s="180">
        <f>X63-W63</f>
        <v>75688.333333333372</v>
      </c>
    </row>
    <row r="64" spans="1:25" x14ac:dyDescent="0.1">
      <c r="A64" s="151" t="s">
        <v>62</v>
      </c>
      <c r="B64" s="151">
        <f t="shared" ref="B64:M64" si="22">SUM(B60:B63)</f>
        <v>166910.03</v>
      </c>
      <c r="C64" s="151">
        <f t="shared" si="22"/>
        <v>151303.16</v>
      </c>
      <c r="D64" s="151">
        <f t="shared" si="22"/>
        <v>132231.32</v>
      </c>
      <c r="E64" s="151">
        <f t="shared" si="22"/>
        <v>146882</v>
      </c>
      <c r="F64" s="130">
        <f t="shared" si="22"/>
        <v>165554.16</v>
      </c>
      <c r="G64" s="136">
        <f t="shared" si="22"/>
        <v>189107.16</v>
      </c>
      <c r="H64" s="136">
        <f t="shared" si="22"/>
        <v>250648.16999999998</v>
      </c>
      <c r="I64" s="136">
        <f t="shared" si="22"/>
        <v>176390.16999999998</v>
      </c>
      <c r="J64" s="136">
        <f>SUM(J60:J63)</f>
        <v>202890</v>
      </c>
      <c r="K64" s="136">
        <f t="shared" si="22"/>
        <v>240319.71</v>
      </c>
      <c r="L64" s="136">
        <f t="shared" si="22"/>
        <v>197347.16999999998</v>
      </c>
      <c r="M64" s="136">
        <f t="shared" si="22"/>
        <v>163058.16</v>
      </c>
      <c r="N64" s="136">
        <f>SUM(B64:M64)</f>
        <v>2182641.21</v>
      </c>
      <c r="O64" s="137">
        <f>SUM(O60:O63)</f>
        <v>2501800</v>
      </c>
      <c r="P64" s="182"/>
      <c r="W64" s="136">
        <f>SUM(F64:M64)</f>
        <v>1585314.6999999997</v>
      </c>
      <c r="X64" s="171">
        <f>O64/12*8</f>
        <v>1667866.6666666667</v>
      </c>
      <c r="Y64" s="171">
        <f>X64-W64</f>
        <v>82551.966666667024</v>
      </c>
    </row>
    <row r="65" spans="1:25" x14ac:dyDescent="0.1">
      <c r="A65" s="151"/>
      <c r="B65" s="151"/>
      <c r="C65" s="151"/>
      <c r="D65" s="151"/>
      <c r="E65" s="151"/>
      <c r="F65" s="130"/>
      <c r="G65" s="136"/>
      <c r="H65" s="136"/>
      <c r="I65" s="136"/>
      <c r="J65" s="136"/>
      <c r="K65" s="136"/>
      <c r="L65" s="136"/>
      <c r="M65" s="136"/>
      <c r="N65" s="136"/>
      <c r="O65" s="137"/>
      <c r="P65" s="181"/>
      <c r="W65" s="136"/>
      <c r="X65" s="137"/>
      <c r="Y65" s="180"/>
    </row>
    <row r="66" spans="1:25" x14ac:dyDescent="0.1">
      <c r="A66" s="169" t="s">
        <v>63</v>
      </c>
      <c r="B66" s="151"/>
      <c r="C66" s="151"/>
      <c r="D66" s="151"/>
      <c r="E66" s="151"/>
      <c r="F66" s="130"/>
      <c r="G66" s="136"/>
      <c r="H66" s="136"/>
      <c r="I66" s="136"/>
      <c r="J66" s="136"/>
      <c r="K66" s="136"/>
      <c r="L66" s="136"/>
      <c r="M66" s="136"/>
      <c r="N66" s="136"/>
      <c r="O66" s="137"/>
      <c r="P66" s="181"/>
      <c r="W66" s="136"/>
      <c r="X66" s="137"/>
      <c r="Y66" s="180"/>
    </row>
    <row r="67" spans="1:25" ht="19.5" x14ac:dyDescent="0.1">
      <c r="A67" s="179" t="s">
        <v>64</v>
      </c>
      <c r="B67" s="148">
        <f>'Движение ДС Бух'!B62+'Моторный '!B62</f>
        <v>53590</v>
      </c>
      <c r="C67" s="148">
        <f>'Движение ДС Бух'!C62+'Моторный '!C62</f>
        <v>46590</v>
      </c>
      <c r="D67" s="148">
        <f>'Движение ДС Бух'!D62+'Моторный '!D62</f>
        <v>46590</v>
      </c>
      <c r="E67" s="148">
        <f>'Движение ДС Бух'!E62+'Моторный '!E62</f>
        <v>46590</v>
      </c>
      <c r="F67" s="148">
        <f>'Движение ДС Бух'!F62+'Моторный '!F62</f>
        <v>56615</v>
      </c>
      <c r="G67" s="148">
        <f>'Движение ДС Бух'!G62+'Моторный '!G62</f>
        <v>47615</v>
      </c>
      <c r="H67" s="148">
        <f>'Движение ДС Бух'!H62+'Моторный '!H62</f>
        <v>65615</v>
      </c>
      <c r="I67" s="148">
        <f>'Движение ДС Бух'!I62+'Моторный '!I62</f>
        <v>56615</v>
      </c>
      <c r="J67" s="148">
        <f>'Движение ДС Бух'!J62+'Моторный '!J62</f>
        <v>56615</v>
      </c>
      <c r="K67" s="148">
        <f>'Движение ДС Бух'!K62+'Моторный '!K62</f>
        <v>56615</v>
      </c>
      <c r="L67" s="148">
        <f>'Движение ДС Бух'!L62+'Моторный '!L62</f>
        <v>56615</v>
      </c>
      <c r="M67" s="148">
        <f>'Движение ДС Бух'!M62+'Моторный '!M62</f>
        <v>47615</v>
      </c>
      <c r="N67" s="142">
        <f>SUM(B67:M67)</f>
        <v>637280</v>
      </c>
      <c r="O67" s="144">
        <v>796800</v>
      </c>
      <c r="P67" s="181"/>
      <c r="W67" s="142">
        <f>SUM(F67:M67)</f>
        <v>443920</v>
      </c>
      <c r="X67" s="180">
        <f>O67/12*8</f>
        <v>531200</v>
      </c>
      <c r="Y67" s="180">
        <f>X67-W67</f>
        <v>87280</v>
      </c>
    </row>
    <row r="68" spans="1:25" ht="19.5" x14ac:dyDescent="0.1">
      <c r="A68" s="179" t="s">
        <v>65</v>
      </c>
      <c r="B68" s="148">
        <f>'Движение ДС Бух'!B63+'Моторный '!B63</f>
        <v>8289.7000000000007</v>
      </c>
      <c r="C68" s="148">
        <f>'Движение ДС Бух'!C63+'Моторный '!C63</f>
        <v>10455</v>
      </c>
      <c r="D68" s="148">
        <f>'Движение ДС Бух'!D63+'Моторный '!D63</f>
        <v>10775</v>
      </c>
      <c r="E68" s="148">
        <f>'Движение ДС Бух'!E63+'Моторный '!E63</f>
        <v>22684.65</v>
      </c>
      <c r="F68" s="148">
        <f>'Движение ДС Бух'!F63+'Моторный '!F63</f>
        <v>8863</v>
      </c>
      <c r="G68" s="148">
        <f>'Движение ДС Бух'!G63+'Моторный '!G63</f>
        <v>8972</v>
      </c>
      <c r="H68" s="148">
        <f>'Движение ДС Бух'!H63+'Моторный '!H63</f>
        <v>7585</v>
      </c>
      <c r="I68" s="148">
        <f>'Движение ДС Бух'!I63+'Моторный '!I63</f>
        <v>43335</v>
      </c>
      <c r="J68" s="148">
        <f>'Движение ДС Бух'!J63+'Моторный '!J63</f>
        <v>14451</v>
      </c>
      <c r="K68" s="148">
        <f>'Движение ДС Бух'!K63+'Моторный '!K63</f>
        <v>14535.79</v>
      </c>
      <c r="L68" s="148">
        <f>'Движение ДС Бух'!L63+'Моторный '!L63</f>
        <v>8575.89</v>
      </c>
      <c r="M68" s="148">
        <f>'Движение ДС Бух'!M63+'Моторный '!M63</f>
        <v>14147.38</v>
      </c>
      <c r="N68" s="142">
        <f>SUM(B68:M68)</f>
        <v>172669.41000000003</v>
      </c>
      <c r="O68" s="144">
        <v>110000</v>
      </c>
      <c r="P68" s="181"/>
      <c r="W68" s="142">
        <f>SUM(F68:M68)</f>
        <v>120465.06000000001</v>
      </c>
      <c r="X68" s="180">
        <f>O68/12*8</f>
        <v>73333.333333333328</v>
      </c>
      <c r="Y68" s="180">
        <f>X68-W68</f>
        <v>-47131.726666666684</v>
      </c>
    </row>
    <row r="69" spans="1:25" x14ac:dyDescent="0.1">
      <c r="A69" s="143" t="s">
        <v>66</v>
      </c>
      <c r="B69" s="148">
        <f>'Движение ДС Бух'!B64+'Моторный '!B64</f>
        <v>4753.13</v>
      </c>
      <c r="C69" s="148">
        <f>'Движение ДС Бух'!C64+'Моторный '!C64</f>
        <v>6935.66</v>
      </c>
      <c r="D69" s="148">
        <f>'Движение ДС Бух'!D64+'Моторный '!D64</f>
        <v>22525.29</v>
      </c>
      <c r="E69" s="148">
        <f>'Движение ДС Бух'!E64+'Моторный '!E64</f>
        <v>5891.05</v>
      </c>
      <c r="F69" s="148">
        <f>'Движение ДС Бух'!F64+'Моторный '!F64</f>
        <v>3205.76</v>
      </c>
      <c r="G69" s="148">
        <f>'Движение ДС Бух'!G64+'Моторный '!G64</f>
        <v>186</v>
      </c>
      <c r="H69" s="148">
        <f>'Движение ДС Бух'!H64+'Моторный '!H64</f>
        <v>7914.98</v>
      </c>
      <c r="I69" s="148">
        <f>'Движение ДС Бух'!I64+'Моторный '!I64</f>
        <v>5324.6</v>
      </c>
      <c r="J69" s="148">
        <f>'Движение ДС Бух'!J64+'Моторный '!J64</f>
        <v>5651.92</v>
      </c>
      <c r="K69" s="148">
        <f>'Движение ДС Бух'!K64+'Моторный '!K64</f>
        <v>4287.57</v>
      </c>
      <c r="L69" s="148">
        <f>'Движение ДС Бух'!L64+'Моторный '!L64</f>
        <v>4774.9699999999993</v>
      </c>
      <c r="M69" s="148">
        <f>'Движение ДС Бух'!M64+'Моторный '!M64</f>
        <v>5912.83</v>
      </c>
      <c r="N69" s="142">
        <f>SUM(B69:M69)</f>
        <v>77363.760000000009</v>
      </c>
      <c r="O69" s="144">
        <v>100000</v>
      </c>
      <c r="P69" s="181"/>
      <c r="W69" s="142">
        <f>SUM(F69:M69)</f>
        <v>37258.630000000005</v>
      </c>
      <c r="X69" s="180">
        <f>O69/12*8</f>
        <v>66666.666666666672</v>
      </c>
      <c r="Y69" s="180">
        <f>X69-W69</f>
        <v>29408.036666666667</v>
      </c>
    </row>
    <row r="70" spans="1:25" x14ac:dyDescent="0.1">
      <c r="A70" s="143" t="s">
        <v>67</v>
      </c>
      <c r="B70" s="148">
        <f>'Движение ДС Бух'!B65+'Моторный '!B65</f>
        <v>0</v>
      </c>
      <c r="C70" s="148">
        <f>'Движение ДС Бух'!C65+'Моторный '!C65</f>
        <v>0</v>
      </c>
      <c r="D70" s="148">
        <f>'Движение ДС Бух'!D65+'Моторный '!D65</f>
        <v>26750</v>
      </c>
      <c r="E70" s="148">
        <f>'Движение ДС Бух'!E65+'Моторный '!E65</f>
        <v>0</v>
      </c>
      <c r="F70" s="148">
        <f>'Движение ДС Бух'!F65+'Моторный '!F65</f>
        <v>0</v>
      </c>
      <c r="G70" s="148">
        <f>'Движение ДС Бух'!G65+'Моторный '!G65</f>
        <v>0</v>
      </c>
      <c r="H70" s="148">
        <f>'Движение ДС Бух'!H65+'Моторный '!H65</f>
        <v>12780</v>
      </c>
      <c r="I70" s="148">
        <f>'Движение ДС Бух'!I65+'Моторный '!I65</f>
        <v>0</v>
      </c>
      <c r="J70" s="148">
        <f>'Движение ДС Бух'!J65+'Моторный '!J65</f>
        <v>8560</v>
      </c>
      <c r="K70" s="148">
        <f>'Движение ДС Бух'!K65+'Моторный '!K65</f>
        <v>0</v>
      </c>
      <c r="L70" s="148">
        <f>'Движение ДС Бух'!L65+'Моторный '!L65</f>
        <v>0</v>
      </c>
      <c r="M70" s="148">
        <f>'Движение ДС Бух'!M65+'Моторный '!M65</f>
        <v>20205.88</v>
      </c>
      <c r="N70" s="142">
        <f>SUM(B70:M70)</f>
        <v>68295.88</v>
      </c>
      <c r="O70" s="144">
        <v>60000</v>
      </c>
      <c r="P70" s="181"/>
      <c r="W70" s="142">
        <f>SUM(F70:M70)</f>
        <v>41545.880000000005</v>
      </c>
      <c r="X70" s="180">
        <f>O70/12*8</f>
        <v>40000</v>
      </c>
      <c r="Y70" s="180">
        <f>X70-W70</f>
        <v>-1545.8800000000047</v>
      </c>
    </row>
    <row r="71" spans="1:25" x14ac:dyDescent="0.1">
      <c r="A71" s="151" t="s">
        <v>68</v>
      </c>
      <c r="B71" s="151">
        <f t="shared" ref="B71:M71" si="23">SUM(B67:B70)</f>
        <v>66632.83</v>
      </c>
      <c r="C71" s="151">
        <f t="shared" si="23"/>
        <v>63980.66</v>
      </c>
      <c r="D71" s="151">
        <f t="shared" si="23"/>
        <v>106640.29000000001</v>
      </c>
      <c r="E71" s="151">
        <f t="shared" si="23"/>
        <v>75165.7</v>
      </c>
      <c r="F71" s="130">
        <f t="shared" si="23"/>
        <v>68683.759999999995</v>
      </c>
      <c r="G71" s="136">
        <f t="shared" si="23"/>
        <v>56773</v>
      </c>
      <c r="H71" s="136">
        <f t="shared" si="23"/>
        <v>93894.98</v>
      </c>
      <c r="I71" s="136">
        <f t="shared" si="23"/>
        <v>105274.6</v>
      </c>
      <c r="J71" s="136">
        <f t="shared" si="23"/>
        <v>85277.92</v>
      </c>
      <c r="K71" s="136">
        <f t="shared" si="23"/>
        <v>75438.360000000015</v>
      </c>
      <c r="L71" s="136">
        <f t="shared" si="23"/>
        <v>69965.86</v>
      </c>
      <c r="M71" s="136">
        <f t="shared" si="23"/>
        <v>87881.09</v>
      </c>
      <c r="N71" s="136">
        <f>SUM(B71:M71)</f>
        <v>955609.05</v>
      </c>
      <c r="O71" s="137">
        <f>SUM(O67:O70)</f>
        <v>1066800</v>
      </c>
      <c r="P71" s="182"/>
      <c r="W71" s="136">
        <f>SUM(F71:M71)</f>
        <v>643189.56999999995</v>
      </c>
      <c r="X71" s="171">
        <f>O71/12*8</f>
        <v>711200</v>
      </c>
      <c r="Y71" s="171">
        <f>X71-W71</f>
        <v>68010.430000000051</v>
      </c>
    </row>
    <row r="72" spans="1:25" x14ac:dyDescent="0.1">
      <c r="A72" s="151"/>
      <c r="B72" s="151"/>
      <c r="C72" s="151"/>
      <c r="D72" s="151"/>
      <c r="E72" s="151"/>
      <c r="F72" s="130"/>
      <c r="G72" s="136"/>
      <c r="H72" s="136"/>
      <c r="I72" s="136"/>
      <c r="J72" s="136"/>
      <c r="K72" s="136"/>
      <c r="L72" s="136"/>
      <c r="M72" s="136"/>
      <c r="N72" s="136"/>
      <c r="O72" s="137"/>
      <c r="P72" s="181"/>
      <c r="W72" s="136"/>
      <c r="X72" s="137"/>
      <c r="Y72" s="180"/>
    </row>
    <row r="73" spans="1:25" x14ac:dyDescent="0.1">
      <c r="A73" s="169" t="s">
        <v>69</v>
      </c>
      <c r="B73" s="151"/>
      <c r="C73" s="151"/>
      <c r="D73" s="151"/>
      <c r="E73" s="151"/>
      <c r="F73" s="130"/>
      <c r="G73" s="136"/>
      <c r="H73" s="136"/>
      <c r="I73" s="136"/>
      <c r="J73" s="136"/>
      <c r="K73" s="136"/>
      <c r="L73" s="136"/>
      <c r="M73" s="136"/>
      <c r="N73" s="136"/>
      <c r="O73" s="137"/>
      <c r="P73" s="181"/>
      <c r="W73" s="136"/>
      <c r="X73" s="137"/>
      <c r="Y73" s="180"/>
    </row>
    <row r="74" spans="1:25" x14ac:dyDescent="0.1">
      <c r="A74" s="143" t="s">
        <v>70</v>
      </c>
      <c r="B74" s="148">
        <f>'Движение ДС Бух'!B69+'Моторный '!B69</f>
        <v>132000</v>
      </c>
      <c r="C74" s="148">
        <f>'Движение ДС Бух'!C69+'Моторный '!C69</f>
        <v>132000</v>
      </c>
      <c r="D74" s="148">
        <f>'Движение ДС Бух'!D69+'Моторный '!D69</f>
        <v>152000</v>
      </c>
      <c r="E74" s="148">
        <f>'Движение ДС Бух'!E69+'Моторный '!E69</f>
        <v>120560</v>
      </c>
      <c r="F74" s="148">
        <f>'Движение ДС Бух'!F69+'Моторный '!F69</f>
        <v>132000</v>
      </c>
      <c r="G74" s="148">
        <f>'Движение ДС Бух'!G69+'Моторный '!G69</f>
        <v>132000</v>
      </c>
      <c r="H74" s="148">
        <f>'Движение ДС Бух'!H69+'Моторный '!H69</f>
        <v>132000</v>
      </c>
      <c r="I74" s="148">
        <f>'Движение ДС Бух'!I69+'Моторный '!I69</f>
        <v>197050</v>
      </c>
      <c r="J74" s="148">
        <f>'Движение ДС Бух'!J69+'Моторный '!J69</f>
        <v>192000</v>
      </c>
      <c r="K74" s="148">
        <f>'Движение ДС Бух'!K69+'Моторный '!K69</f>
        <v>245860</v>
      </c>
      <c r="L74" s="148">
        <f>'Движение ДС Бух'!L69+'Моторный '!L69</f>
        <v>234720</v>
      </c>
      <c r="M74" s="148">
        <f>'Движение ДС Бух'!M69+'Моторный '!M69</f>
        <v>239720</v>
      </c>
      <c r="N74" s="142">
        <f>SUM(B74:M74)</f>
        <v>2041910</v>
      </c>
      <c r="O74" s="144">
        <v>3000000</v>
      </c>
      <c r="P74" s="181"/>
      <c r="W74" s="142">
        <f>SUM(F74:M74)</f>
        <v>1505350</v>
      </c>
      <c r="X74" s="180">
        <f>O74/12*8</f>
        <v>2000000</v>
      </c>
      <c r="Y74" s="180">
        <f t="shared" ref="Y74:Y79" si="24">X74-W74</f>
        <v>494650</v>
      </c>
    </row>
    <row r="75" spans="1:25" x14ac:dyDescent="0.1">
      <c r="A75" s="143" t="s">
        <v>71</v>
      </c>
      <c r="B75" s="148">
        <f>'Движение ДС Бух'!B70+'Моторный '!B70</f>
        <v>4000</v>
      </c>
      <c r="C75" s="148">
        <f>'Движение ДС Бух'!C70+'Моторный '!C70</f>
        <v>4000</v>
      </c>
      <c r="D75" s="148">
        <f>'Движение ДС Бух'!D70+'Моторный '!D70</f>
        <v>4500</v>
      </c>
      <c r="E75" s="148">
        <f>'Движение ДС Бух'!E70+'Моторный '!E70</f>
        <v>4000</v>
      </c>
      <c r="F75" s="148">
        <f>'Движение ДС Бух'!F70+'Моторный '!F70</f>
        <v>750</v>
      </c>
      <c r="G75" s="148">
        <f>'Движение ДС Бух'!G70+'Моторный '!G70</f>
        <v>11840</v>
      </c>
      <c r="H75" s="148">
        <f>'Движение ДС Бух'!H70+'Моторный '!H70</f>
        <v>0</v>
      </c>
      <c r="I75" s="148">
        <f>'Движение ДС Бух'!I70+'Моторный '!I70</f>
        <v>49000.4</v>
      </c>
      <c r="J75" s="148">
        <f>'Движение ДС Бух'!J70+'Моторный '!J70</f>
        <v>2000</v>
      </c>
      <c r="K75" s="148">
        <f>'Движение ДС Бух'!K70+'Моторный '!K70</f>
        <v>53295.55</v>
      </c>
      <c r="L75" s="148">
        <f>'Движение ДС Бух'!L70+'Моторный '!L70</f>
        <v>158828.65</v>
      </c>
      <c r="M75" s="148">
        <f>'Движение ДС Бух'!M70+'Моторный '!M70</f>
        <v>170601.60000000001</v>
      </c>
      <c r="N75" s="142">
        <f>SUM(B75:M75)</f>
        <v>462816.19999999995</v>
      </c>
      <c r="O75" s="144">
        <v>282000</v>
      </c>
      <c r="P75" s="181"/>
      <c r="W75" s="142">
        <f>SUM(F75:M75)</f>
        <v>446316.19999999995</v>
      </c>
      <c r="X75" s="180">
        <f>O75/12*8</f>
        <v>188000</v>
      </c>
      <c r="Y75" s="180">
        <f t="shared" si="24"/>
        <v>-258316.19999999995</v>
      </c>
    </row>
    <row r="76" spans="1:25" x14ac:dyDescent="0.1">
      <c r="A76" s="143" t="s">
        <v>72</v>
      </c>
      <c r="B76" s="148">
        <f>'Движение ДС Бух'!B71+'Моторный '!B71</f>
        <v>0</v>
      </c>
      <c r="C76" s="148">
        <f>'Движение ДС Бух'!C71+'Моторный '!C71</f>
        <v>0</v>
      </c>
      <c r="D76" s="148">
        <f>'Движение ДС Бух'!D71+'Моторный '!D71</f>
        <v>0</v>
      </c>
      <c r="E76" s="148">
        <f>'Движение ДС Бух'!E71+'Моторный '!E71</f>
        <v>0</v>
      </c>
      <c r="F76" s="148">
        <f>'Движение ДС Бух'!F71+'Моторный '!F71</f>
        <v>35438.57</v>
      </c>
      <c r="G76" s="148">
        <f>'Движение ДС Бух'!G71+'Моторный '!G71</f>
        <v>0</v>
      </c>
      <c r="H76" s="148">
        <f>'Движение ДС Бух'!H71+'Моторный '!H71</f>
        <v>0</v>
      </c>
      <c r="I76" s="148">
        <f>'Движение ДС Бух'!I71+'Моторный '!I71</f>
        <v>0</v>
      </c>
      <c r="J76" s="148">
        <f>'Движение ДС Бух'!J71+'Моторный '!J71</f>
        <v>0</v>
      </c>
      <c r="K76" s="148">
        <f>'Движение ДС Бух'!K71+'Моторный '!K71</f>
        <v>0</v>
      </c>
      <c r="L76" s="148">
        <f>'Движение ДС Бух'!L71+'Моторный '!L71</f>
        <v>6437</v>
      </c>
      <c r="M76" s="148">
        <f>'Движение ДС Бух'!M71+'Моторный '!M71</f>
        <v>26750</v>
      </c>
      <c r="N76" s="142">
        <f>SUM(B76:M76)</f>
        <v>68625.570000000007</v>
      </c>
      <c r="O76" s="144">
        <v>100000</v>
      </c>
      <c r="P76" s="181"/>
      <c r="W76" s="142">
        <f>SUM(F76:M76)</f>
        <v>68625.570000000007</v>
      </c>
      <c r="X76" s="180">
        <f>O76/12*8</f>
        <v>66666.666666666672</v>
      </c>
      <c r="Y76" s="180">
        <f t="shared" si="24"/>
        <v>-1958.9033333333355</v>
      </c>
    </row>
    <row r="77" spans="1:25" x14ac:dyDescent="0.1">
      <c r="A77" s="151" t="s">
        <v>73</v>
      </c>
      <c r="B77" s="151">
        <f t="shared" ref="B77:M77" si="25">SUM(B74:B76)</f>
        <v>136000</v>
      </c>
      <c r="C77" s="151">
        <f t="shared" si="25"/>
        <v>136000</v>
      </c>
      <c r="D77" s="151">
        <f t="shared" si="25"/>
        <v>156500</v>
      </c>
      <c r="E77" s="151">
        <f t="shared" si="25"/>
        <v>124560</v>
      </c>
      <c r="F77" s="130">
        <f t="shared" si="25"/>
        <v>168188.57</v>
      </c>
      <c r="G77" s="136">
        <f t="shared" si="25"/>
        <v>143840</v>
      </c>
      <c r="H77" s="136">
        <f t="shared" si="25"/>
        <v>132000</v>
      </c>
      <c r="I77" s="136">
        <f t="shared" si="25"/>
        <v>246050.4</v>
      </c>
      <c r="J77" s="136">
        <f t="shared" si="25"/>
        <v>194000</v>
      </c>
      <c r="K77" s="136">
        <f t="shared" si="25"/>
        <v>299155.55</v>
      </c>
      <c r="L77" s="136">
        <f t="shared" si="25"/>
        <v>399985.65</v>
      </c>
      <c r="M77" s="136">
        <f t="shared" si="25"/>
        <v>437071.6</v>
      </c>
      <c r="N77" s="136">
        <f>SUM(B77:M77)</f>
        <v>2573351.77</v>
      </c>
      <c r="O77" s="137">
        <f>SUM(O74:O76)</f>
        <v>3382000</v>
      </c>
      <c r="P77" s="182"/>
      <c r="W77" s="136">
        <f>SUM(F77:M77)</f>
        <v>2020291.77</v>
      </c>
      <c r="X77" s="171">
        <f>O77/12*8</f>
        <v>2254666.6666666665</v>
      </c>
      <c r="Y77" s="171">
        <f t="shared" si="24"/>
        <v>234374.89666666649</v>
      </c>
    </row>
    <row r="78" spans="1:25" x14ac:dyDescent="0.1">
      <c r="A78" s="151"/>
      <c r="B78" s="151"/>
      <c r="C78" s="151"/>
      <c r="D78" s="151"/>
      <c r="E78" s="151"/>
      <c r="F78" s="130"/>
      <c r="G78" s="136"/>
      <c r="H78" s="136"/>
      <c r="I78" s="136"/>
      <c r="J78" s="136"/>
      <c r="K78" s="136"/>
      <c r="L78" s="136"/>
      <c r="M78" s="136"/>
      <c r="N78" s="136"/>
      <c r="O78" s="137"/>
      <c r="P78" s="181"/>
      <c r="W78" s="136"/>
      <c r="X78" s="137"/>
      <c r="Y78" s="180"/>
    </row>
    <row r="79" spans="1:25" x14ac:dyDescent="0.1">
      <c r="A79" s="169" t="s">
        <v>119</v>
      </c>
      <c r="B79" s="151">
        <f>'Движение ДС Бух'!B74</f>
        <v>0</v>
      </c>
      <c r="C79" s="151">
        <f>'Движение ДС Бух'!C74</f>
        <v>25000</v>
      </c>
      <c r="D79" s="151">
        <f>'Движение ДС Бух'!D74</f>
        <v>0</v>
      </c>
      <c r="E79" s="151">
        <f>'Движение ДС Бух'!E74</f>
        <v>0</v>
      </c>
      <c r="F79" s="151">
        <f>'Движение ДС Бух'!F74</f>
        <v>0</v>
      </c>
      <c r="G79" s="151">
        <f>'Движение ДС Бух'!G74</f>
        <v>0</v>
      </c>
      <c r="H79" s="151">
        <f>'Движение ДС Бух'!H74</f>
        <v>0</v>
      </c>
      <c r="I79" s="151">
        <f>'Движение ДС Бух'!I74</f>
        <v>0</v>
      </c>
      <c r="J79" s="151">
        <f>'Движение ДС Бух'!J74</f>
        <v>0</v>
      </c>
      <c r="K79" s="151">
        <f>'Движение ДС Бух'!K74</f>
        <v>0</v>
      </c>
      <c r="L79" s="151">
        <f>'Движение ДС Бух'!L74</f>
        <v>1238.4000000000001</v>
      </c>
      <c r="M79" s="151">
        <f>'Движение ДС Бух'!M74</f>
        <v>56412.800000000003</v>
      </c>
      <c r="N79" s="136">
        <f>SUM(B79:M79)</f>
        <v>82651.200000000012</v>
      </c>
      <c r="O79" s="137">
        <v>672000</v>
      </c>
      <c r="P79" s="182"/>
      <c r="W79" s="136">
        <f>SUM(F79:M79)</f>
        <v>57651.200000000004</v>
      </c>
      <c r="X79" s="171">
        <f>O79/12*8</f>
        <v>448000</v>
      </c>
      <c r="Y79" s="171">
        <f t="shared" si="24"/>
        <v>390348.79999999999</v>
      </c>
    </row>
    <row r="80" spans="1:25" x14ac:dyDescent="0.1">
      <c r="A80" s="151" t="s">
        <v>120</v>
      </c>
      <c r="B80" s="151">
        <f>'Движение ДС Бух'!B75</f>
        <v>0</v>
      </c>
      <c r="C80" s="151">
        <f>'Движение ДС Бух'!C75</f>
        <v>25000</v>
      </c>
      <c r="D80" s="151">
        <f>'Движение ДС Бух'!D75</f>
        <v>0</v>
      </c>
      <c r="E80" s="151">
        <f>'Движение ДС Бух'!E75</f>
        <v>0</v>
      </c>
      <c r="F80" s="151">
        <f>'Движение ДС Бух'!F75</f>
        <v>0</v>
      </c>
      <c r="G80" s="151">
        <f>'Движение ДС Бух'!G75</f>
        <v>0</v>
      </c>
      <c r="H80" s="151">
        <f>'Движение ДС Бух'!H75</f>
        <v>0</v>
      </c>
      <c r="I80" s="151">
        <f>'Движение ДС Бух'!I75</f>
        <v>0</v>
      </c>
      <c r="J80" s="151">
        <f>'Движение ДС Бух'!J75</f>
        <v>0</v>
      </c>
      <c r="K80" s="151">
        <f>'Движение ДС Бух'!K75</f>
        <v>0</v>
      </c>
      <c r="L80" s="151">
        <f>'Движение ДС Бух'!L75</f>
        <v>1238.4000000000001</v>
      </c>
      <c r="M80" s="151">
        <f>'Движение ДС Бух'!M75</f>
        <v>56412.800000000003</v>
      </c>
      <c r="N80" s="136">
        <f>SUM(B80:M80)</f>
        <v>82651.200000000012</v>
      </c>
      <c r="O80" s="137"/>
      <c r="P80" s="182"/>
      <c r="W80" s="136">
        <f>SUM(F80:M80)</f>
        <v>57651.200000000004</v>
      </c>
      <c r="X80" s="137"/>
      <c r="Y80" s="171"/>
    </row>
    <row r="81" spans="1:25" x14ac:dyDescent="0.1">
      <c r="A81" s="151"/>
      <c r="B81" s="151"/>
      <c r="C81" s="151"/>
      <c r="D81" s="151"/>
      <c r="E81" s="151"/>
      <c r="F81" s="130"/>
      <c r="G81" s="136"/>
      <c r="H81" s="136"/>
      <c r="I81" s="136"/>
      <c r="J81" s="136"/>
      <c r="K81" s="136"/>
      <c r="L81" s="136"/>
      <c r="M81" s="136"/>
      <c r="N81" s="136"/>
      <c r="O81" s="137"/>
      <c r="P81" s="181"/>
      <c r="W81" s="136"/>
      <c r="X81" s="137"/>
      <c r="Y81" s="180"/>
    </row>
    <row r="82" spans="1:25" x14ac:dyDescent="0.1">
      <c r="A82" s="169" t="s">
        <v>121</v>
      </c>
      <c r="B82" s="151"/>
      <c r="C82" s="151"/>
      <c r="D82" s="151"/>
      <c r="E82" s="151"/>
      <c r="F82" s="130"/>
      <c r="G82" s="136"/>
      <c r="H82" s="136"/>
      <c r="I82" s="136"/>
      <c r="J82" s="136"/>
      <c r="K82" s="136"/>
      <c r="L82" s="136"/>
      <c r="M82" s="136"/>
      <c r="N82" s="136"/>
      <c r="O82" s="137"/>
      <c r="P82" s="181"/>
      <c r="W82" s="136"/>
      <c r="X82" s="137"/>
      <c r="Y82" s="180"/>
    </row>
    <row r="83" spans="1:25" x14ac:dyDescent="0.1">
      <c r="A83" s="143" t="s">
        <v>122</v>
      </c>
      <c r="B83" s="148">
        <f>'Движение ДС Бух'!B78+'Моторный '!B78</f>
        <v>166577.88</v>
      </c>
      <c r="C83" s="148">
        <f>'Движение ДС Бух'!C78+'Моторный '!C78</f>
        <v>0</v>
      </c>
      <c r="D83" s="148">
        <f>'Движение ДС Бух'!D78+'Моторный '!D78</f>
        <v>142390.92000000001</v>
      </c>
      <c r="E83" s="148">
        <f>'Движение ДС Бух'!E78+'Моторный '!E78</f>
        <v>0</v>
      </c>
      <c r="F83" s="148">
        <f>'Движение ДС Бух'!F78+'Моторный '!F78</f>
        <v>24381</v>
      </c>
      <c r="G83" s="148">
        <f>'Движение ДС Бух'!G78+'Моторный '!G78</f>
        <v>35295.120000000003</v>
      </c>
      <c r="H83" s="148">
        <f>'Движение ДС Бух'!H78+'Моторный '!H78</f>
        <v>9979.2000000000007</v>
      </c>
      <c r="I83" s="148">
        <f>'Движение ДС Бух'!I78+'Моторный '!I78</f>
        <v>32222.68</v>
      </c>
      <c r="J83" s="148">
        <f>'Движение ДС Бух'!J78+'Моторный '!J78</f>
        <v>48831.65</v>
      </c>
      <c r="K83" s="148">
        <f>'Движение ДС Бух'!K78+'Моторный '!K78</f>
        <v>74644.399999999994</v>
      </c>
      <c r="L83" s="148">
        <f>'Движение ДС Бух'!L78+'Моторный '!L78</f>
        <v>99724.01</v>
      </c>
      <c r="M83" s="148"/>
      <c r="N83" s="142">
        <f>SUM(B83:M83)</f>
        <v>634046.8600000001</v>
      </c>
      <c r="O83" s="144">
        <v>450000</v>
      </c>
      <c r="P83" s="181"/>
      <c r="W83" s="142">
        <f t="shared" ref="W83:W90" si="26">SUM(F83:M83)</f>
        <v>325078.06</v>
      </c>
      <c r="X83" s="180">
        <f>O83/12*8</f>
        <v>300000</v>
      </c>
      <c r="Y83" s="180">
        <f>X83-W83</f>
        <v>-25078.059999999998</v>
      </c>
    </row>
    <row r="84" spans="1:25" x14ac:dyDescent="0.1">
      <c r="A84" s="143" t="s">
        <v>123</v>
      </c>
      <c r="B84" s="148">
        <f>'Движение ДС Бух'!B79+'Моторный '!B79</f>
        <v>11770</v>
      </c>
      <c r="C84" s="148">
        <f>'Движение ДС Бух'!C79+'Моторный '!C79</f>
        <v>11770</v>
      </c>
      <c r="D84" s="148">
        <f>'Движение ДС Бух'!D79+'Моторный '!D79</f>
        <v>11770</v>
      </c>
      <c r="E84" s="148">
        <f>'Движение ДС Бух'!E79+'Моторный '!E79</f>
        <v>11770</v>
      </c>
      <c r="F84" s="148">
        <f>'Движение ДС Бух'!F79+'Моторный '!F79</f>
        <v>19260</v>
      </c>
      <c r="G84" s="148">
        <f>'Движение ДС Бух'!G79+'Моторный '!G79</f>
        <v>19260</v>
      </c>
      <c r="H84" s="148">
        <f>'Движение ДС Бух'!H79+'Моторный '!H79</f>
        <v>19260</v>
      </c>
      <c r="I84" s="148">
        <f>'Движение ДС Бух'!I79+'Моторный '!I79</f>
        <v>19260</v>
      </c>
      <c r="J84" s="148">
        <f>'Движение ДС Бух'!J79+'Моторный '!J79</f>
        <v>19260</v>
      </c>
      <c r="K84" s="148">
        <f>'Движение ДС Бух'!K79+'Моторный '!K79</f>
        <v>19260</v>
      </c>
      <c r="L84" s="148">
        <f>'Движение ДС Бух'!L79+'Моторный '!L79</f>
        <v>19260</v>
      </c>
      <c r="M84" s="148">
        <f>'Движение ДС Бух'!M79+'Моторный '!M79</f>
        <v>19260</v>
      </c>
      <c r="N84" s="142">
        <f>SUM(B84:M84)</f>
        <v>201160</v>
      </c>
      <c r="O84" s="144">
        <v>230000</v>
      </c>
      <c r="P84" s="181"/>
      <c r="W84" s="142">
        <f t="shared" si="26"/>
        <v>154080</v>
      </c>
      <c r="X84" s="180">
        <f>O84/12*8</f>
        <v>153333.33333333334</v>
      </c>
      <c r="Y84" s="180">
        <f>X84-W84</f>
        <v>-746.66666666665697</v>
      </c>
    </row>
    <row r="85" spans="1:25" x14ac:dyDescent="0.1">
      <c r="A85" s="143" t="s">
        <v>124</v>
      </c>
      <c r="B85" s="148">
        <f>'Движение ДС Бух'!B80+'Моторный '!B80</f>
        <v>2467.5</v>
      </c>
      <c r="C85" s="148">
        <f>'Движение ДС Бух'!C80+'Моторный '!C80</f>
        <v>7069</v>
      </c>
      <c r="D85" s="148">
        <f>'Движение ДС Бух'!D80+'Моторный '!D80</f>
        <v>0</v>
      </c>
      <c r="E85" s="148">
        <f>'Движение ДС Бух'!E80+'Моторный '!E80</f>
        <v>27008.6</v>
      </c>
      <c r="F85" s="148">
        <f>'Движение ДС Бух'!F80+'Моторный '!F80</f>
        <v>10911</v>
      </c>
      <c r="G85" s="148">
        <f>'Движение ДС Бух'!G80+'Моторный '!G80</f>
        <v>13517</v>
      </c>
      <c r="H85" s="148">
        <f>'Движение ДС Бух'!H80+'Моторный '!H80</f>
        <v>3898</v>
      </c>
      <c r="I85" s="148">
        <f>'Движение ДС Бух'!I80+'Моторный '!I80</f>
        <v>3300</v>
      </c>
      <c r="J85" s="148">
        <f>'Движение ДС Бух'!J80+'Моторный '!J80</f>
        <v>12844</v>
      </c>
      <c r="K85" s="148">
        <f>'Движение ДС Бух'!K80+'Моторный '!K80</f>
        <v>12381.06</v>
      </c>
      <c r="L85" s="148">
        <f>'Движение ДС Бух'!L80+'Моторный '!L80</f>
        <v>2855.15</v>
      </c>
      <c r="M85" s="148">
        <f>'Движение ДС Бух'!M80+'Моторный '!M80</f>
        <v>21402.26</v>
      </c>
      <c r="N85" s="142">
        <f>SUM(B85:M85)</f>
        <v>117653.56999999999</v>
      </c>
      <c r="O85" s="144">
        <v>80000</v>
      </c>
      <c r="P85" s="181"/>
      <c r="W85" s="142">
        <f t="shared" si="26"/>
        <v>81108.47</v>
      </c>
      <c r="X85" s="180">
        <f>O85/12*8</f>
        <v>53333.333333333336</v>
      </c>
      <c r="Y85" s="180">
        <f>X85-W85</f>
        <v>-27775.136666666665</v>
      </c>
    </row>
    <row r="86" spans="1:25" x14ac:dyDescent="0.1">
      <c r="A86" s="143" t="s">
        <v>125</v>
      </c>
      <c r="B86" s="148">
        <f>'Движение ДС Бух'!B81+'Моторный '!B81</f>
        <v>0</v>
      </c>
      <c r="C86" s="148">
        <f>'Движение ДС Бух'!C81+'Моторный '!C81</f>
        <v>0</v>
      </c>
      <c r="D86" s="148">
        <f>'Движение ДС Бух'!D81+'Моторный '!D81</f>
        <v>0</v>
      </c>
      <c r="E86" s="148">
        <f>'Движение ДС Бух'!E81+'Моторный '!E81</f>
        <v>0</v>
      </c>
      <c r="F86" s="148">
        <f>'Движение ДС Бух'!F81+'Моторный '!F81</f>
        <v>0</v>
      </c>
      <c r="G86" s="148">
        <f>'Движение ДС Бух'!G81+'Моторный '!G81</f>
        <v>0</v>
      </c>
      <c r="H86" s="148">
        <f>'Движение ДС Бух'!H81+'Моторный '!H81</f>
        <v>0</v>
      </c>
      <c r="I86" s="148">
        <f>'Движение ДС Бух'!I81+'Моторный '!I81</f>
        <v>0</v>
      </c>
      <c r="J86" s="148">
        <f>'Движение ДС Бух'!J81+'Моторный '!J81</f>
        <v>0</v>
      </c>
      <c r="K86" s="148">
        <f>'Движение ДС Бух'!K81+'Моторный '!K81</f>
        <v>33600</v>
      </c>
      <c r="L86" s="148">
        <f>'Движение ДС Бух'!L81+'Моторный '!L81</f>
        <v>0</v>
      </c>
      <c r="M86" s="148">
        <f>'Движение ДС Бух'!M81+'Моторный '!M81</f>
        <v>0</v>
      </c>
      <c r="N86" s="142">
        <f>SUM(B86:M86)</f>
        <v>33600</v>
      </c>
      <c r="O86" s="144">
        <v>70000</v>
      </c>
      <c r="P86" s="181"/>
      <c r="W86" s="142">
        <f t="shared" si="26"/>
        <v>33600</v>
      </c>
      <c r="X86" s="180">
        <f>O86/12*8</f>
        <v>46666.666666666664</v>
      </c>
      <c r="Y86" s="180">
        <f>X86-W86</f>
        <v>13066.666666666664</v>
      </c>
    </row>
    <row r="87" spans="1:25" x14ac:dyDescent="0.1">
      <c r="A87" s="151" t="s">
        <v>126</v>
      </c>
      <c r="B87" s="151">
        <f t="shared" ref="B87:M87" si="27">SUM(B83:B86)</f>
        <v>180815.38</v>
      </c>
      <c r="C87" s="151">
        <f t="shared" si="27"/>
        <v>18839</v>
      </c>
      <c r="D87" s="151">
        <f t="shared" si="27"/>
        <v>154160.92000000001</v>
      </c>
      <c r="E87" s="151">
        <f t="shared" si="27"/>
        <v>38778.6</v>
      </c>
      <c r="F87" s="130">
        <f t="shared" si="27"/>
        <v>54552</v>
      </c>
      <c r="G87" s="136">
        <f t="shared" si="27"/>
        <v>68072.12</v>
      </c>
      <c r="H87" s="136">
        <f t="shared" si="27"/>
        <v>33137.199999999997</v>
      </c>
      <c r="I87" s="136">
        <f t="shared" si="27"/>
        <v>54782.68</v>
      </c>
      <c r="J87" s="136">
        <f t="shared" si="27"/>
        <v>80935.649999999994</v>
      </c>
      <c r="K87" s="136">
        <f t="shared" si="27"/>
        <v>139885.46</v>
      </c>
      <c r="L87" s="136">
        <f t="shared" si="27"/>
        <v>121839.15999999999</v>
      </c>
      <c r="M87" s="136">
        <f t="shared" si="27"/>
        <v>40662.259999999995</v>
      </c>
      <c r="N87" s="136">
        <f>SUM(B87:M87)</f>
        <v>986460.43</v>
      </c>
      <c r="O87" s="137">
        <v>830000</v>
      </c>
      <c r="P87" s="182"/>
      <c r="W87" s="136">
        <f t="shared" si="26"/>
        <v>593866.53</v>
      </c>
      <c r="X87" s="171">
        <f>O87/12*8</f>
        <v>553333.33333333337</v>
      </c>
      <c r="Y87" s="171">
        <f>X87-W87</f>
        <v>-40533.196666666656</v>
      </c>
    </row>
    <row r="88" spans="1:25" x14ac:dyDescent="0.1">
      <c r="A88" s="169"/>
      <c r="B88" s="151"/>
      <c r="C88" s="151"/>
      <c r="D88" s="151"/>
      <c r="E88" s="151"/>
      <c r="F88" s="130"/>
      <c r="G88" s="136"/>
      <c r="H88" s="136"/>
      <c r="I88" s="136"/>
      <c r="J88" s="136"/>
      <c r="K88" s="136"/>
      <c r="L88" s="136"/>
      <c r="M88" s="136"/>
      <c r="N88" s="136"/>
      <c r="O88" s="137"/>
      <c r="P88" s="138"/>
      <c r="Q88" s="141"/>
      <c r="W88" s="136"/>
      <c r="X88" s="137"/>
      <c r="Y88" s="137"/>
    </row>
    <row r="89" spans="1:25" s="141" customFormat="1" x14ac:dyDescent="0.1">
      <c r="A89" s="184" t="s">
        <v>144</v>
      </c>
      <c r="B89" s="151">
        <f>'Движение ДС Бух'!B84</f>
        <v>434663.88</v>
      </c>
      <c r="C89" s="151">
        <f>'Движение ДС Бух'!C84</f>
        <v>414220.79999999999</v>
      </c>
      <c r="D89" s="151">
        <f>'Движение ДС Бух'!D84</f>
        <v>364354.19999999995</v>
      </c>
      <c r="E89" s="151">
        <f>'Движение ДС Бух'!E84</f>
        <v>310000</v>
      </c>
      <c r="F89" s="151">
        <f>'Движение ДС Бух'!F84</f>
        <v>197486.64</v>
      </c>
      <c r="G89" s="151">
        <f>'Движение ДС Бух'!G84</f>
        <v>232943.76</v>
      </c>
      <c r="H89" s="151">
        <f>'Движение ДС Бух'!H84</f>
        <v>228869.75999999998</v>
      </c>
      <c r="I89" s="151">
        <f>'Движение ДС Бух'!I84</f>
        <v>0</v>
      </c>
      <c r="J89" s="151">
        <f>'Движение ДС Бух'!J84</f>
        <v>218486.59</v>
      </c>
      <c r="K89" s="151">
        <f>'Движение ДС Бух'!K84</f>
        <v>198180.88000000003</v>
      </c>
      <c r="L89" s="151">
        <f>'Движение ДС Бух'!L84</f>
        <v>182378.22999999998</v>
      </c>
      <c r="M89" s="151">
        <f>'Движение ДС Бух'!M84</f>
        <v>360470.93</v>
      </c>
      <c r="N89" s="136">
        <f>SUM(B89:M89)</f>
        <v>3142055.67</v>
      </c>
      <c r="O89" s="137"/>
      <c r="P89" s="138"/>
      <c r="W89" s="136">
        <f t="shared" si="26"/>
        <v>1618816.79</v>
      </c>
      <c r="X89" s="137"/>
      <c r="Y89" s="137"/>
    </row>
    <row r="90" spans="1:25" s="141" customFormat="1" x14ac:dyDescent="0.1">
      <c r="A90" s="169" t="s">
        <v>143</v>
      </c>
      <c r="B90" s="151">
        <f>'Движение ДС Бух'!B86</f>
        <v>0</v>
      </c>
      <c r="C90" s="151">
        <f>'Движение ДС Бух'!C86</f>
        <v>0</v>
      </c>
      <c r="D90" s="151">
        <f>'Движение ДС Бух'!D86</f>
        <v>0</v>
      </c>
      <c r="E90" s="151">
        <f>'Движение ДС Бух'!E86</f>
        <v>0</v>
      </c>
      <c r="F90" s="151">
        <f>'Движение ДС Бух'!F86</f>
        <v>0</v>
      </c>
      <c r="G90" s="151">
        <f>'Движение ДС Бух'!G86</f>
        <v>0</v>
      </c>
      <c r="H90" s="151">
        <f>'Движение ДС Бух'!H86</f>
        <v>0</v>
      </c>
      <c r="I90" s="151">
        <f>'Движение ДС Бух'!I86</f>
        <v>80000</v>
      </c>
      <c r="J90" s="151">
        <f>'Движение ДС Бух'!J86</f>
        <v>0</v>
      </c>
      <c r="K90" s="151">
        <f>'Движение ДС Бух'!K86</f>
        <v>60000</v>
      </c>
      <c r="L90" s="151">
        <f>'Движение ДС Бух'!L86</f>
        <v>40000</v>
      </c>
      <c r="M90" s="151">
        <f>'Движение ДС Бух'!M86</f>
        <v>0</v>
      </c>
      <c r="N90" s="136">
        <f>SUM(B90:M90)</f>
        <v>180000</v>
      </c>
      <c r="O90" s="137"/>
      <c r="P90" s="138"/>
      <c r="W90" s="136">
        <f t="shared" si="26"/>
        <v>180000</v>
      </c>
      <c r="X90" s="137"/>
      <c r="Y90" s="137"/>
    </row>
    <row r="91" spans="1:25" x14ac:dyDescent="0.1">
      <c r="F91" s="122"/>
      <c r="G91" s="122"/>
      <c r="H91" s="122"/>
      <c r="I91" s="122"/>
      <c r="J91" s="122"/>
      <c r="K91" s="122"/>
      <c r="L91" s="122"/>
      <c r="M91" s="122"/>
      <c r="N91" s="122"/>
      <c r="O91" s="123"/>
      <c r="P91" s="123"/>
      <c r="W91" s="122"/>
      <c r="X91" s="123"/>
      <c r="Y91" s="123"/>
    </row>
    <row r="92" spans="1:25" x14ac:dyDescent="0.1">
      <c r="F92" s="122"/>
      <c r="G92" s="122"/>
      <c r="H92" s="122"/>
      <c r="I92" s="122"/>
      <c r="J92" s="122"/>
      <c r="K92" s="122"/>
      <c r="L92" s="122"/>
      <c r="M92" s="122"/>
      <c r="N92" s="122"/>
      <c r="O92" s="123"/>
      <c r="P92" s="123"/>
      <c r="W92" s="122"/>
      <c r="X92" s="123"/>
      <c r="Y92" s="123"/>
    </row>
  </sheetData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Баланс </vt:lpstr>
      <vt:lpstr>Движение ДС Бух</vt:lpstr>
      <vt:lpstr>Моторный </vt:lpstr>
      <vt:lpstr>Сводный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evgeniy.andreev</dc:creator>
  <cp:lastModifiedBy>X</cp:lastModifiedBy>
  <cp:lastPrinted>2020-02-19T17:21:41Z</cp:lastPrinted>
  <dcterms:created xsi:type="dcterms:W3CDTF">2009-11-26T06:51:43Z</dcterms:created>
  <dcterms:modified xsi:type="dcterms:W3CDTF">2020-02-20T09:52:38Z</dcterms:modified>
</cp:coreProperties>
</file>